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lig Leder\Dropbox\SPORT\"/>
    </mc:Choice>
  </mc:AlternateContent>
  <bookViews>
    <workbookView xWindow="0" yWindow="0" windowWidth="20490" windowHeight="8115"/>
  </bookViews>
  <sheets>
    <sheet name="kamper (7)" sheetId="1" r:id="rId1"/>
  </sheets>
  <definedNames>
    <definedName name="_xlnm._FilterDatabase" localSheetId="0" hidden="1">'kamper (7)'!$A$3:$F$731</definedName>
  </definedNames>
  <calcPr calcId="171027"/>
</workbook>
</file>

<file path=xl/calcChain.xml><?xml version="1.0" encoding="utf-8"?>
<calcChain xmlns="http://schemas.openxmlformats.org/spreadsheetml/2006/main">
  <c r="B256" i="1" l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55" i="1" l="1"/>
  <c r="B731" i="1" l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39" i="1"/>
  <c r="B238" i="1"/>
  <c r="B237" i="1"/>
  <c r="B236" i="1"/>
  <c r="B235" i="1"/>
  <c r="B234" i="1"/>
  <c r="B233" i="1"/>
  <c r="B232" i="1"/>
  <c r="B231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8" i="1"/>
  <c r="B87" i="1"/>
  <c r="B86" i="1"/>
  <c r="B85" i="1"/>
  <c r="B84" i="1"/>
  <c r="B83" i="1"/>
  <c r="B82" i="1"/>
  <c r="B81" i="1"/>
  <c r="B79" i="1"/>
  <c r="B78" i="1"/>
  <c r="B77" i="1"/>
  <c r="B76" i="1"/>
  <c r="B72" i="1"/>
  <c r="B75" i="1"/>
  <c r="B74" i="1"/>
  <c r="B73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4" i="1"/>
  <c r="B53" i="1"/>
  <c r="B52" i="1"/>
  <c r="B51" i="1"/>
  <c r="B50" i="1"/>
  <c r="B49" i="1"/>
  <c r="B48" i="1"/>
  <c r="B47" i="1"/>
  <c r="B46" i="1"/>
  <c r="B44" i="1"/>
  <c r="B43" i="1"/>
  <c r="B42" i="1"/>
  <c r="B41" i="1"/>
  <c r="B40" i="1"/>
  <c r="B39" i="1"/>
  <c r="B38" i="1"/>
  <c r="B37" i="1"/>
  <c r="B36" i="1"/>
  <c r="B35" i="1"/>
  <c r="B34" i="1"/>
  <c r="B33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<sst xmlns="http://schemas.openxmlformats.org/spreadsheetml/2006/main" count="3286" uniqueCount="499">
  <si>
    <t>Klubb: testing</t>
  </si>
  <si>
    <t>Fra: 2016-03-30</t>
  </si>
  <si>
    <t>Til: 2016-12-31</t>
  </si>
  <si>
    <t>Start tidspunkt</t>
  </si>
  <si>
    <t>Kamp nr</t>
  </si>
  <si>
    <t>Hjemmelag</t>
  </si>
  <si>
    <t>Bortelag</t>
  </si>
  <si>
    <t>Bane</t>
  </si>
  <si>
    <t>Turnering</t>
  </si>
  <si>
    <t>Rælingen 2</t>
  </si>
  <si>
    <t>Kløfta</t>
  </si>
  <si>
    <t>G19 2.div Avd 02</t>
  </si>
  <si>
    <t>Rælingen</t>
  </si>
  <si>
    <t>Blaker</t>
  </si>
  <si>
    <t>4.div menn</t>
  </si>
  <si>
    <t>Fet</t>
  </si>
  <si>
    <t>G16 1.div</t>
  </si>
  <si>
    <t>Aurskog/Finstadbru</t>
  </si>
  <si>
    <t>Aursmoen kunstgress 7er A</t>
  </si>
  <si>
    <t>J13 9er 1.div</t>
  </si>
  <si>
    <t>Gjerdrum</t>
  </si>
  <si>
    <t>Gjerdrum kunstgress</t>
  </si>
  <si>
    <t>G14 2.div 11er</t>
  </si>
  <si>
    <t>Skjetten</t>
  </si>
  <si>
    <t>G19 1.div</t>
  </si>
  <si>
    <t>Rælingen 3</t>
  </si>
  <si>
    <t>Eidsvold IF 2</t>
  </si>
  <si>
    <t>G14 9er 3.div Avd 02</t>
  </si>
  <si>
    <t>Kurland</t>
  </si>
  <si>
    <t>4.div kvinner</t>
  </si>
  <si>
    <t>Borgen</t>
  </si>
  <si>
    <t>6. Div Menn</t>
  </si>
  <si>
    <t>Rælingen 2*</t>
  </si>
  <si>
    <t>Setskog +</t>
  </si>
  <si>
    <t>Marikollen kunstgress 7er A</t>
  </si>
  <si>
    <t>J13 9er 3.div</t>
  </si>
  <si>
    <t>Eidsvold IF</t>
  </si>
  <si>
    <t>Eidsvoll st. kunstgress</t>
  </si>
  <si>
    <t>G14 1.div 11er</t>
  </si>
  <si>
    <t>Nittedal</t>
  </si>
  <si>
    <t>Nittedal kunstgress</t>
  </si>
  <si>
    <t>J14 9er 1.div</t>
  </si>
  <si>
    <t>Flisbyen</t>
  </si>
  <si>
    <t>Lillestrøm 4</t>
  </si>
  <si>
    <t>Lillestrøm 3</t>
  </si>
  <si>
    <t>G13 9er 2.div Avd 02</t>
  </si>
  <si>
    <t>Ullensaker/Kisa 2</t>
  </si>
  <si>
    <t>Jessheim Stadion</t>
  </si>
  <si>
    <t>Strømmen</t>
  </si>
  <si>
    <t>Strømmen stadion kg</t>
  </si>
  <si>
    <t>Rælingen 6</t>
  </si>
  <si>
    <t>Marikollen kg mini 7er</t>
  </si>
  <si>
    <t>G11 avd 08</t>
  </si>
  <si>
    <t>Løvenstad</t>
  </si>
  <si>
    <t>Sandbekken Kunstgress</t>
  </si>
  <si>
    <t>Eidsvold TF</t>
  </si>
  <si>
    <t>G13 9er 2.div Avd 01</t>
  </si>
  <si>
    <t>Funnefoss/Vormsund 2</t>
  </si>
  <si>
    <t>Funnefoss kunstgress</t>
  </si>
  <si>
    <t>Varpe</t>
  </si>
  <si>
    <t>Lørenskog 2</t>
  </si>
  <si>
    <t>Rolvsrud 2</t>
  </si>
  <si>
    <t>Rælingen 4</t>
  </si>
  <si>
    <t>Lørenskog 6</t>
  </si>
  <si>
    <t>G11 avd 09</t>
  </si>
  <si>
    <t>Sørumsand 2</t>
  </si>
  <si>
    <t>Sørumsand 2 7er A/B</t>
  </si>
  <si>
    <t>Gjerdrum 2</t>
  </si>
  <si>
    <t>Skedsmo 2</t>
  </si>
  <si>
    <t>G12 avd 07</t>
  </si>
  <si>
    <t>Lillestrøm</t>
  </si>
  <si>
    <t>J12 avd 02</t>
  </si>
  <si>
    <t>Ullensaker/Kisa 3</t>
  </si>
  <si>
    <t>Ullensaker/Kisa</t>
  </si>
  <si>
    <t>Lørenskog 3</t>
  </si>
  <si>
    <t>Rolvsrud 2 7er B</t>
  </si>
  <si>
    <t>Rømskog</t>
  </si>
  <si>
    <t>Skjetten 2</t>
  </si>
  <si>
    <t>Skjetten St. mini</t>
  </si>
  <si>
    <t>G12 avd 05</t>
  </si>
  <si>
    <t>Løvenstad 3</t>
  </si>
  <si>
    <t>Sandbekken Mini Kg</t>
  </si>
  <si>
    <t>Frogner</t>
  </si>
  <si>
    <t>Frogner kunstgress</t>
  </si>
  <si>
    <t>Jessheim Stadion 7er A</t>
  </si>
  <si>
    <t>G13 9er 1.div Avd 02</t>
  </si>
  <si>
    <t>Skjetten 4</t>
  </si>
  <si>
    <t>Rælingen 2 7er</t>
  </si>
  <si>
    <t>Sørumsand 3 9er</t>
  </si>
  <si>
    <t>G16 3.div Avd 01</t>
  </si>
  <si>
    <t>Skedsmo st. kg 7er A</t>
  </si>
  <si>
    <t>Dal</t>
  </si>
  <si>
    <t>M39 7er</t>
  </si>
  <si>
    <t>Leirsund</t>
  </si>
  <si>
    <t>Leirsund stadion 7er</t>
  </si>
  <si>
    <t>Skedsmo</t>
  </si>
  <si>
    <t>J12 avd 01</t>
  </si>
  <si>
    <t>Skedsmo stadion kg</t>
  </si>
  <si>
    <t>Rælingen Blå</t>
  </si>
  <si>
    <t>Ytre Rælingen Blå</t>
  </si>
  <si>
    <t>Marikollen kg mini 5er A</t>
  </si>
  <si>
    <t>J09 avd 05</t>
  </si>
  <si>
    <t>Nannestad IL</t>
  </si>
  <si>
    <t>Bjerke 2</t>
  </si>
  <si>
    <t>Nannestad st kg 7er</t>
  </si>
  <si>
    <t>Skedsmo 3</t>
  </si>
  <si>
    <t>Lørenskog</t>
  </si>
  <si>
    <t>Rolvsrud kunstgress</t>
  </si>
  <si>
    <t>Raumnes &amp; Årnes</t>
  </si>
  <si>
    <t>Rælingen 5</t>
  </si>
  <si>
    <t>G11 avd 03</t>
  </si>
  <si>
    <t>Lørenskog Lilla</t>
  </si>
  <si>
    <t>Rælingen Gul</t>
  </si>
  <si>
    <t>Rolvsrud 2 5er B</t>
  </si>
  <si>
    <t>G08 avd 05</t>
  </si>
  <si>
    <t>Årnes kunstgras</t>
  </si>
  <si>
    <t>Lørenskog Hvit</t>
  </si>
  <si>
    <t>Eidsvoll kunstgress</t>
  </si>
  <si>
    <t>Jessheim ipk kg 7er A</t>
  </si>
  <si>
    <t>G11 avd 04</t>
  </si>
  <si>
    <t>Rælingen Hvit</t>
  </si>
  <si>
    <t>Sørumsand Hvit</t>
  </si>
  <si>
    <t>Marikollen kg mini 5er B</t>
  </si>
  <si>
    <t>J07 avd 01</t>
  </si>
  <si>
    <t>Rælingen Rød</t>
  </si>
  <si>
    <t>Sørumsand Rød</t>
  </si>
  <si>
    <t>Frogner Rød</t>
  </si>
  <si>
    <t>J07 avd 03</t>
  </si>
  <si>
    <t>Feiring *</t>
  </si>
  <si>
    <t>G14 9er 4.div Avd 01</t>
  </si>
  <si>
    <t>Skjetten 3</t>
  </si>
  <si>
    <t>G13 7er</t>
  </si>
  <si>
    <t>J11 avd 04</t>
  </si>
  <si>
    <t>Strømmen st kg 7er B</t>
  </si>
  <si>
    <t>G11 avd 01</t>
  </si>
  <si>
    <t>Jessheim ipk kunstgress</t>
  </si>
  <si>
    <t>Eidsvoll st. kg 7er A</t>
  </si>
  <si>
    <t>Gjelleråsen 2</t>
  </si>
  <si>
    <t>Kvinner 7er avd 02</t>
  </si>
  <si>
    <t>Ullensaker/Kisa Oker</t>
  </si>
  <si>
    <t>G08 avd 02</t>
  </si>
  <si>
    <t>Ullensaker/Kisa Grønn</t>
  </si>
  <si>
    <t>Nannestad IL Rød</t>
  </si>
  <si>
    <t>G10 avd 14</t>
  </si>
  <si>
    <t>Skedsmo kg 7er</t>
  </si>
  <si>
    <t>Sørumsand kunstgress</t>
  </si>
  <si>
    <t>Finstad</t>
  </si>
  <si>
    <t>Raumnes &amp; Årnes +</t>
  </si>
  <si>
    <t>Rælingen Rosa</t>
  </si>
  <si>
    <t>Gjelleråsen Gul</t>
  </si>
  <si>
    <t>G08 avd 08</t>
  </si>
  <si>
    <t>Ullensaker/Kisa Hvit</t>
  </si>
  <si>
    <t>Jessheim ipk gress 5er C</t>
  </si>
  <si>
    <t>G07 avd 01</t>
  </si>
  <si>
    <t>Fet Blå</t>
  </si>
  <si>
    <t>Fedrelandet kg 5er A</t>
  </si>
  <si>
    <t>G10 avd 15</t>
  </si>
  <si>
    <t>Raumnes &amp; Årnes Rød</t>
  </si>
  <si>
    <t>J09 avd 02</t>
  </si>
  <si>
    <t>Ullensaker/Kisa Rød</t>
  </si>
  <si>
    <t>Rælingen Grønn</t>
  </si>
  <si>
    <t>Gjelleråsen Grønn</t>
  </si>
  <si>
    <t>Raumnes &amp; Årnes Hvit</t>
  </si>
  <si>
    <t>Lørenskog Blå</t>
  </si>
  <si>
    <t>G07 avd 14</t>
  </si>
  <si>
    <t>Sørumsand</t>
  </si>
  <si>
    <t>Lørenskog 4</t>
  </si>
  <si>
    <t>G11 avd 11</t>
  </si>
  <si>
    <t>Kurland Hvit</t>
  </si>
  <si>
    <t>Kurlandsparken 5er B</t>
  </si>
  <si>
    <t>G09 avd 05</t>
  </si>
  <si>
    <t>Nittedal Rød</t>
  </si>
  <si>
    <t>Nittedal mini 5er</t>
  </si>
  <si>
    <t>G09 avd 06</t>
  </si>
  <si>
    <t>Skjetten Gul</t>
  </si>
  <si>
    <t>G10 avd 12</t>
  </si>
  <si>
    <t>Kurland Rød</t>
  </si>
  <si>
    <t>Nittedal Blå</t>
  </si>
  <si>
    <t>Skjetten Blå</t>
  </si>
  <si>
    <t>Fjellhamar</t>
  </si>
  <si>
    <t>Skjetten Rød</t>
  </si>
  <si>
    <t>J10 avd 02</t>
  </si>
  <si>
    <t>Skedsmo 4</t>
  </si>
  <si>
    <t>G13 9er 3.div Avd 02</t>
  </si>
  <si>
    <t>Skjetten Hvit</t>
  </si>
  <si>
    <t>Gjelleråsen</t>
  </si>
  <si>
    <t>Li kunstgress 7er</t>
  </si>
  <si>
    <t>Eidsvold TF 2</t>
  </si>
  <si>
    <t>Jessheim ipk kg 7er B</t>
  </si>
  <si>
    <t>Fjellhamar kg 7er A</t>
  </si>
  <si>
    <t>Skjetten St. mini 5er B</t>
  </si>
  <si>
    <t>Varpe Rød</t>
  </si>
  <si>
    <t>Haga Rosa</t>
  </si>
  <si>
    <t>Haga St. Kg 5er A</t>
  </si>
  <si>
    <t>Li kunstgress 7er B</t>
  </si>
  <si>
    <t>Ullensaker/Kisa 4</t>
  </si>
  <si>
    <t>Raumnes &amp; Årnes 2</t>
  </si>
  <si>
    <t>Enebakk Blå</t>
  </si>
  <si>
    <t>Nittedal Hvit</t>
  </si>
  <si>
    <t>Lørenskog Rød</t>
  </si>
  <si>
    <t>J08 avd 02</t>
  </si>
  <si>
    <t>Strømmen Hvit</t>
  </si>
  <si>
    <t>Enebakk Hvit</t>
  </si>
  <si>
    <t>Gjelleråsen 6</t>
  </si>
  <si>
    <t>Strømmen 2</t>
  </si>
  <si>
    <t>Gjerdrum kg 7er</t>
  </si>
  <si>
    <t>Strømmen 3</t>
  </si>
  <si>
    <t>Fjellhamar Rød</t>
  </si>
  <si>
    <t>Hakadal Rød</t>
  </si>
  <si>
    <t>Elvetangen kg 5er D</t>
  </si>
  <si>
    <t>Hvam Rød</t>
  </si>
  <si>
    <t>Hvam kg 5er A</t>
  </si>
  <si>
    <t>Fjellhamar Hvit</t>
  </si>
  <si>
    <t>Hakadal Gul</t>
  </si>
  <si>
    <t>Lørenskog Orange</t>
  </si>
  <si>
    <t>Hammer 5er 1 gress</t>
  </si>
  <si>
    <t>Bruvollen gress 7er</t>
  </si>
  <si>
    <t>Lørenskog Oker</t>
  </si>
  <si>
    <t>Hvam Hvit</t>
  </si>
  <si>
    <t>Aurskog/Finstadbru 2</t>
  </si>
  <si>
    <t>Menn 7er avd 02</t>
  </si>
  <si>
    <t>Aurskog/Finstadbru Hvit</t>
  </si>
  <si>
    <t>Skjetten 3 7er</t>
  </si>
  <si>
    <t>Ullensaker/Kisa 5</t>
  </si>
  <si>
    <t>Skjetten Stadion 7er A</t>
  </si>
  <si>
    <t>Li kunstgress 11er</t>
  </si>
  <si>
    <t>Løvenstad 2</t>
  </si>
  <si>
    <t>Fjellhamar Blå</t>
  </si>
  <si>
    <t>Fjellhamar kg 5er C</t>
  </si>
  <si>
    <t>Fjellhamar stadion kg</t>
  </si>
  <si>
    <t>Lillestrøm Hvit</t>
  </si>
  <si>
    <t>Bjerke</t>
  </si>
  <si>
    <t>Bjerke gress</t>
  </si>
  <si>
    <t>Lillestrøm Rød</t>
  </si>
  <si>
    <t>Frogner 3</t>
  </si>
  <si>
    <t>Fet Grønn</t>
  </si>
  <si>
    <t>Lillestrøm Gul</t>
  </si>
  <si>
    <t>Vigernesjordet 1 5er</t>
  </si>
  <si>
    <t>Gjerdrum Rød</t>
  </si>
  <si>
    <t>Gjerdrum kg 5er B</t>
  </si>
  <si>
    <t>Lillestrøm Svart</t>
  </si>
  <si>
    <t>Gjerdrum Hvit</t>
  </si>
  <si>
    <t>Gjelleråsen Oker</t>
  </si>
  <si>
    <t>Li kunstgress 5er</t>
  </si>
  <si>
    <t>Strømmen Blå</t>
  </si>
  <si>
    <t>Strømmen st kg 7er A</t>
  </si>
  <si>
    <t>Enebakk 2</t>
  </si>
  <si>
    <t>Sørumsand Blå</t>
  </si>
  <si>
    <t>Fet Rød</t>
  </si>
  <si>
    <t>Fedrelandet ballbinge kg</t>
  </si>
  <si>
    <t>Vigernesjordet 7er</t>
  </si>
  <si>
    <t>Skedsmo 5</t>
  </si>
  <si>
    <t>Skjetten Stadion</t>
  </si>
  <si>
    <t>Rolvsrud 2 7er A</t>
  </si>
  <si>
    <t>Fet Hvit</t>
  </si>
  <si>
    <t>Sørumsand Gul</t>
  </si>
  <si>
    <t>Hauerseter</t>
  </si>
  <si>
    <t>Skedsmo Sort</t>
  </si>
  <si>
    <t>Skedsmo Øvre kg 5er C</t>
  </si>
  <si>
    <t>Løvenstad Rød</t>
  </si>
  <si>
    <t>Sandbekken Mini Kg 5er A</t>
  </si>
  <si>
    <t>Skedsmo Orange</t>
  </si>
  <si>
    <t>Løvenstad Hvit</t>
  </si>
  <si>
    <t>Lillestrøm 2</t>
  </si>
  <si>
    <t>Gjelleråsen 3</t>
  </si>
  <si>
    <t>Li kunstgress 7er A</t>
  </si>
  <si>
    <t>Fjellhamar mini</t>
  </si>
  <si>
    <t>Eidsvoll st. kg 7er B</t>
  </si>
  <si>
    <t>Fjellhamar Gul</t>
  </si>
  <si>
    <t>Aurskog/Finstadbru Gul</t>
  </si>
  <si>
    <t>Fet 2</t>
  </si>
  <si>
    <t>Fedrelandet kg 7er A</t>
  </si>
  <si>
    <t>Nannestad FK</t>
  </si>
  <si>
    <t>Nannestad stadion kg</t>
  </si>
  <si>
    <t>Lørenskog Gul</t>
  </si>
  <si>
    <t>Frogner kg 7er A</t>
  </si>
  <si>
    <t>Hurdal</t>
  </si>
  <si>
    <t>Kløfta 2</t>
  </si>
  <si>
    <t>Bakkedalen kg 7er B</t>
  </si>
  <si>
    <t>Fjellhamar 2</t>
  </si>
  <si>
    <t>Gjelleråsen Rød</t>
  </si>
  <si>
    <t>Gjelleråsen Hvit</t>
  </si>
  <si>
    <t>Bakkedalen kg 7er A</t>
  </si>
  <si>
    <t>Bjerke stadion</t>
  </si>
  <si>
    <t>Borgen 2</t>
  </si>
  <si>
    <t>Borgen gress</t>
  </si>
  <si>
    <t>Holter</t>
  </si>
  <si>
    <t>Nittedal 2</t>
  </si>
  <si>
    <t>Hammer 5er 3 gress</t>
  </si>
  <si>
    <t>Høland Rød</t>
  </si>
  <si>
    <t>Høland st. kg 5er A</t>
  </si>
  <si>
    <t>Lillestrøm 5</t>
  </si>
  <si>
    <t>LSK Kvinner 3</t>
  </si>
  <si>
    <t>Lillestrøm 4 7er B</t>
  </si>
  <si>
    <t>Aurskog-Høland *</t>
  </si>
  <si>
    <t>Høland stadion kg</t>
  </si>
  <si>
    <t>Opakerfeltet 7er</t>
  </si>
  <si>
    <t>Årnes stadion</t>
  </si>
  <si>
    <t>Hakadal</t>
  </si>
  <si>
    <t>Elvetangen kg</t>
  </si>
  <si>
    <t>Dal gress 1</t>
  </si>
  <si>
    <t>Frogner 2</t>
  </si>
  <si>
    <t>Frogner kg 7er B</t>
  </si>
  <si>
    <t>Kløfta Grønn</t>
  </si>
  <si>
    <t>Dyrskueplassen grus 5er A</t>
  </si>
  <si>
    <t>Fenstad FK</t>
  </si>
  <si>
    <t>Lillestrøm 6</t>
  </si>
  <si>
    <t>Gjelleråsen 4</t>
  </si>
  <si>
    <t>Eidskog</t>
  </si>
  <si>
    <t>Leirsund Blå</t>
  </si>
  <si>
    <t>Vidotta kg 7er A</t>
  </si>
  <si>
    <t>Skedsmo Hvit</t>
  </si>
  <si>
    <t>Hvam kg 7er A</t>
  </si>
  <si>
    <t>Kløfta 3</t>
  </si>
  <si>
    <t>Slettmoen kg 7er B</t>
  </si>
  <si>
    <t>Fet Sort</t>
  </si>
  <si>
    <t>Li kunstgress 2 11er</t>
  </si>
  <si>
    <t>Nittedal 3</t>
  </si>
  <si>
    <t>Eidsvold TF 3</t>
  </si>
  <si>
    <t>Myhrer 4 7er</t>
  </si>
  <si>
    <t>Skjetten St. mini 5er A</t>
  </si>
  <si>
    <t>Lørenskog 5</t>
  </si>
  <si>
    <t>Rolvsrud 2 5er A</t>
  </si>
  <si>
    <t>Gjerdrum 3</t>
  </si>
  <si>
    <t>Aurskog/Finstadbru Rød</t>
  </si>
  <si>
    <t>Hvam kunstgress</t>
  </si>
  <si>
    <t>Kurlandsparken</t>
  </si>
  <si>
    <t>Bjerke 7er 1</t>
  </si>
  <si>
    <t>Nittedal 4</t>
  </si>
  <si>
    <t>Nittedal 7er kg</t>
  </si>
  <si>
    <t>Skedsmo 6</t>
  </si>
  <si>
    <t>Finstadbanen 7er A</t>
  </si>
  <si>
    <t>Skedsmo Blå</t>
  </si>
  <si>
    <t>Skjetten 6</t>
  </si>
  <si>
    <t>Bakkedalen kunstgress</t>
  </si>
  <si>
    <t>Fjellhamar 3</t>
  </si>
  <si>
    <t>Sørumsand 2 5er C</t>
  </si>
  <si>
    <t>Bjerke 2 7er</t>
  </si>
  <si>
    <t>Kurland 2</t>
  </si>
  <si>
    <t>Skårer</t>
  </si>
  <si>
    <t>Hvam</t>
  </si>
  <si>
    <t>Ullensaker/Kisa Blå</t>
  </si>
  <si>
    <t>Blaker Rød</t>
  </si>
  <si>
    <t>Bruvollen 1 5er</t>
  </si>
  <si>
    <t>Hakadal 2</t>
  </si>
  <si>
    <t>Elvetangen kg 7er A</t>
  </si>
  <si>
    <t>Nordkisa st. kg</t>
  </si>
  <si>
    <t>Nittedal kg 7er B</t>
  </si>
  <si>
    <t>Funnefoss/Vormsund +</t>
  </si>
  <si>
    <t>Feiring</t>
  </si>
  <si>
    <t>Feiring KG 7er A</t>
  </si>
  <si>
    <t>Ullensaker/Kisa 5 7er</t>
  </si>
  <si>
    <t>Lillestrøm 3 7er A</t>
  </si>
  <si>
    <t>Lillestrøm 3 7er B</t>
  </si>
  <si>
    <t>Myhrer 6</t>
  </si>
  <si>
    <t>Borgen gress 7er A</t>
  </si>
  <si>
    <t>Jessheim ipk gress 5er D</t>
  </si>
  <si>
    <t>Frogner kg 5er A</t>
  </si>
  <si>
    <t>Årnes minikunstgras</t>
  </si>
  <si>
    <t>Nordby kunstgress 5er A</t>
  </si>
  <si>
    <t>Rolvsrud 2 5er D</t>
  </si>
  <si>
    <t>Strømmen kg 5er mini</t>
  </si>
  <si>
    <t>Feiring KG</t>
  </si>
  <si>
    <t>Nannestad st kg 5er A</t>
  </si>
  <si>
    <t>Dal 2</t>
  </si>
  <si>
    <t>Dal gress 2 7er</t>
  </si>
  <si>
    <t>Fedrelandet kunstgress</t>
  </si>
  <si>
    <t>Rømskogbanen 7er</t>
  </si>
  <si>
    <t>Bruvollen gress</t>
  </si>
  <si>
    <t>Lillestrøm 3 kunstgress</t>
  </si>
  <si>
    <t>Aursmoen mini kg</t>
  </si>
  <si>
    <t>Slettmoen 5er A</t>
  </si>
  <si>
    <t>Årnes kg 7er A</t>
  </si>
  <si>
    <t>Setskog stadion</t>
  </si>
  <si>
    <t>Vidotta kg 5er A</t>
  </si>
  <si>
    <t>Sørumsand 2 5er A</t>
  </si>
  <si>
    <t>Myhrer 3 7er</t>
  </si>
  <si>
    <t>Aursmoen st. gress 7er A</t>
  </si>
  <si>
    <t>Haga stadion</t>
  </si>
  <si>
    <t>Skedsmo Øvre kg 5er A</t>
  </si>
  <si>
    <t>Myhrer 5</t>
  </si>
  <si>
    <t>Fenstad mini</t>
  </si>
  <si>
    <t>Holter stadion</t>
  </si>
  <si>
    <t>Hurdal stadion 7er A</t>
  </si>
  <si>
    <t>Leirsund mini 5er</t>
  </si>
  <si>
    <t>Hammer 7er gress</t>
  </si>
  <si>
    <t>Vigernesjordet 4 5er</t>
  </si>
  <si>
    <t>Kurlandsparken 7er A</t>
  </si>
  <si>
    <t>Matrand</t>
  </si>
  <si>
    <t>Fjellhamar kg 7er B</t>
  </si>
  <si>
    <t>Funnefoss kg 7er A</t>
  </si>
  <si>
    <t>Dommer</t>
  </si>
  <si>
    <t>Mobil nr</t>
  </si>
  <si>
    <t>Christoffer N Nøst</t>
  </si>
  <si>
    <t>41292984 / 924688852</t>
  </si>
  <si>
    <t>Kwabena Bokaye</t>
  </si>
  <si>
    <t>416 39 641</t>
  </si>
  <si>
    <t>Nina Finsrud Lizana</t>
  </si>
  <si>
    <t>952 00 624</t>
  </si>
  <si>
    <t>Line skott Gunther</t>
  </si>
  <si>
    <t>Daniel Schmidt</t>
  </si>
  <si>
    <t>938 08 870</t>
  </si>
  <si>
    <t>Arion Dzakolay</t>
  </si>
  <si>
    <t>418 53 961</t>
  </si>
  <si>
    <t>Ida Fagerli</t>
  </si>
  <si>
    <t>481 28 233</t>
  </si>
  <si>
    <t>Danye Korkosh</t>
  </si>
  <si>
    <t>981 36 060</t>
  </si>
  <si>
    <t>Pouya Badr</t>
  </si>
  <si>
    <t>482 67 203</t>
  </si>
  <si>
    <t>Mahdi Azimi</t>
  </si>
  <si>
    <t>973 90 586</t>
  </si>
  <si>
    <t>Dennis B Nielsen</t>
  </si>
  <si>
    <t>902 07 757</t>
  </si>
  <si>
    <t>Fredrik A Musæus</t>
  </si>
  <si>
    <t>469 53 668</t>
  </si>
  <si>
    <t>Mathias Forchammer</t>
  </si>
  <si>
    <t>926 91 866</t>
  </si>
  <si>
    <t>Henrik Lønn-Arnesen</t>
  </si>
  <si>
    <t>Elias Popal</t>
  </si>
  <si>
    <t>907 07 489</t>
  </si>
  <si>
    <t>Per Jarle B Oppegaard</t>
  </si>
  <si>
    <t>995  31 134</t>
  </si>
  <si>
    <t>Martin Mills-Andersen</t>
  </si>
  <si>
    <t>993 59 250</t>
  </si>
  <si>
    <t>Albin Nguyen</t>
  </si>
  <si>
    <t>991 06 445</t>
  </si>
  <si>
    <t>Lars Aune</t>
  </si>
  <si>
    <t>458 75 276</t>
  </si>
  <si>
    <t>FADDER</t>
  </si>
  <si>
    <t xml:space="preserve">Felicia Pettersen </t>
  </si>
  <si>
    <t>Eskil Aune</t>
  </si>
  <si>
    <t>458 75 279</t>
  </si>
  <si>
    <t>413 85 568</t>
  </si>
  <si>
    <t>905 62 224</t>
  </si>
  <si>
    <t>Trenger ikke dommer</t>
  </si>
  <si>
    <t>Anine Heggeli Pettersen</t>
  </si>
  <si>
    <t>970 27 495</t>
  </si>
  <si>
    <t>Aurora Nøstenes</t>
  </si>
  <si>
    <t>400 19 468</t>
  </si>
  <si>
    <t>Jan Sigurd Engh</t>
  </si>
  <si>
    <t>950 04 337</t>
  </si>
  <si>
    <t>Emma Fjeld Olsen</t>
  </si>
  <si>
    <t xml:space="preserve"> 905 77  993</t>
  </si>
  <si>
    <t>905 77 993</t>
  </si>
  <si>
    <t>Øyvind Helle Christiansen</t>
  </si>
  <si>
    <t>986 08 479</t>
  </si>
  <si>
    <t>908 28 985</t>
  </si>
  <si>
    <t>Alexander Sundhagen</t>
  </si>
  <si>
    <t>988 17 125</t>
  </si>
  <si>
    <t>Rohulla Azimi</t>
  </si>
  <si>
    <t>455 25 011</t>
  </si>
  <si>
    <t>Noah Salvesen</t>
  </si>
  <si>
    <t>989 94 373</t>
  </si>
  <si>
    <t>MEG</t>
  </si>
  <si>
    <t>4 DIV</t>
  </si>
  <si>
    <t>Herman Småriseth</t>
  </si>
  <si>
    <t>981 32 119</t>
  </si>
  <si>
    <t>G07 avd 11</t>
  </si>
  <si>
    <t>Raumnes &amp; Årnes blå</t>
  </si>
  <si>
    <t>G07 avd 13</t>
  </si>
  <si>
    <t>Lørenskog Grå</t>
  </si>
  <si>
    <t>G13 9er 3 div avd 2</t>
  </si>
  <si>
    <t>Lørenskog brun</t>
  </si>
  <si>
    <t>Flisbyen 4</t>
  </si>
  <si>
    <t>.02120972003</t>
  </si>
  <si>
    <t>.02107111025</t>
  </si>
  <si>
    <t>.02113932002</t>
  </si>
  <si>
    <t>.02107113012</t>
  </si>
  <si>
    <t>.02113932013</t>
  </si>
  <si>
    <t>.02107111035</t>
  </si>
  <si>
    <t>Kløfta Gul</t>
  </si>
  <si>
    <t>.02120972011</t>
  </si>
  <si>
    <t>.02107111040</t>
  </si>
  <si>
    <t>.02107113020</t>
  </si>
  <si>
    <t>Sørum rød</t>
  </si>
  <si>
    <t>.02107113024</t>
  </si>
  <si>
    <t>Rælingen gul</t>
  </si>
  <si>
    <t>Kløfta Blå</t>
  </si>
  <si>
    <t>.02113932022</t>
  </si>
  <si>
    <t>G13 9er 3div avd 02</t>
  </si>
  <si>
    <t>.02107111015</t>
  </si>
  <si>
    <t>.02107111005</t>
  </si>
  <si>
    <t>Leirsund Rød</t>
  </si>
  <si>
    <t>Kevin Sivertsen</t>
  </si>
  <si>
    <t>Danny Nguyen</t>
  </si>
  <si>
    <t>476 75 290</t>
  </si>
  <si>
    <t>Jonas Baa</t>
  </si>
  <si>
    <t>901 15 503</t>
  </si>
  <si>
    <t>Eskil Krogsæter</t>
  </si>
  <si>
    <t>Karen Eline Grøstad</t>
  </si>
  <si>
    <t>954 94 222</t>
  </si>
  <si>
    <t>951 29 670</t>
  </si>
  <si>
    <t>Marlèn Hansson</t>
  </si>
  <si>
    <t>skaffer egen dommer</t>
  </si>
  <si>
    <t>Albin Nguyen Solås</t>
  </si>
  <si>
    <t>Kampen utgår. Laget trukket.</t>
  </si>
  <si>
    <t>Internkamp utgår.</t>
  </si>
  <si>
    <t>Interkmap utgår.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</si>
</sst>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22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9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wrapText="1"/>
    </xf>
    <xf numFmtId="0" fontId="0" fillId="0" borderId="15" xfId="0" applyBorder="1"/>
    <xf numFmtId="0" fontId="19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right"/>
    </xf>
    <xf numFmtId="22" fontId="18" fillId="33" borderId="10" xfId="0" applyNumberFormat="1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8" fillId="33" borderId="16" xfId="0" applyFont="1" applyFill="1" applyBorder="1" applyAlignment="1">
      <alignment wrapText="1"/>
    </xf>
    <xf numFmtId="0" fontId="20" fillId="0" borderId="15" xfId="0" applyFont="1" applyFill="1" applyBorder="1" applyAlignment="1">
      <alignment horizontal="right" wrapText="1"/>
    </xf>
    <xf numFmtId="0" fontId="0" fillId="0" borderId="15" xfId="0" applyFill="1" applyBorder="1" applyAlignment="1">
      <alignment horizontal="right" wrapText="1"/>
    </xf>
    <xf numFmtId="0" fontId="20" fillId="33" borderId="15" xfId="0" applyFont="1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0" fontId="0" fillId="34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16" fillId="0" borderId="15" xfId="0" applyFont="1" applyBorder="1" applyAlignment="1">
      <alignment horizontal="center"/>
    </xf>
    <xf numFmtId="0" fontId="0" fillId="35" borderId="15" xfId="0" applyFill="1" applyBorder="1" applyAlignment="1">
      <alignment horizontal="right"/>
    </xf>
    <xf numFmtId="0" fontId="0" fillId="35" borderId="15" xfId="0" applyFill="1" applyBorder="1"/>
    <xf numFmtId="0" fontId="0" fillId="0" borderId="15" xfId="0" applyFill="1" applyBorder="1"/>
    <xf numFmtId="0" fontId="18" fillId="0" borderId="10" xfId="0" applyFont="1" applyBorder="1" applyAlignment="1">
      <alignment horizontal="left"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21" fillId="0" borderId="15" xfId="0" applyFont="1" applyFill="1" applyBorder="1" applyAlignment="1">
      <alignment horizontal="right"/>
    </xf>
    <xf numFmtId="0" fontId="0" fillId="34" borderId="15" xfId="0" applyFill="1" applyBorder="1"/>
    <xf numFmtId="0" fontId="0" fillId="36" borderId="15" xfId="0" applyFill="1" applyBorder="1" applyAlignment="1">
      <alignment horizontal="right"/>
    </xf>
    <xf numFmtId="0" fontId="20" fillId="36" borderId="15" xfId="0" applyFont="1" applyFill="1" applyBorder="1" applyAlignment="1">
      <alignment horizontal="right" wrapText="1"/>
    </xf>
    <xf numFmtId="0" fontId="0" fillId="0" borderId="0" xfId="0" applyFill="1"/>
    <xf numFmtId="0" fontId="0" fillId="0" borderId="19" xfId="0" applyFill="1" applyBorder="1" applyAlignment="1">
      <alignment horizontal="right"/>
    </xf>
    <xf numFmtId="0" fontId="0" fillId="0" borderId="0" xfId="0" applyFill="1" applyAlignment="1">
      <alignment horizontal="right"/>
    </xf>
    <xf numFmtId="22" fontId="18" fillId="36" borderId="10" xfId="0" applyNumberFormat="1" applyFont="1" applyFill="1" applyBorder="1" applyAlignment="1">
      <alignment wrapText="1"/>
    </xf>
    <xf numFmtId="0" fontId="18" fillId="36" borderId="10" xfId="0" applyFont="1" applyFill="1" applyBorder="1" applyAlignment="1">
      <alignment wrapText="1"/>
    </xf>
    <xf numFmtId="0" fontId="18" fillId="36" borderId="16" xfId="0" applyFont="1" applyFill="1" applyBorder="1" applyAlignment="1">
      <alignment wrapText="1"/>
    </xf>
    <xf numFmtId="0" fontId="18" fillId="36" borderId="10" xfId="0" applyFont="1" applyFill="1" applyBorder="1" applyAlignment="1">
      <alignment horizontal="left" wrapText="1"/>
    </xf>
    <xf numFmtId="0" fontId="16" fillId="36" borderId="15" xfId="0" applyFont="1" applyFill="1" applyBorder="1"/>
    <xf numFmtId="0" fontId="0" fillId="0" borderId="21" xfId="0" applyBorder="1"/>
    <xf numFmtId="0" fontId="0" fillId="0" borderId="19" xfId="0" applyBorder="1"/>
  </cellXfs>
  <cellStyles count="42">
    <cellStyle name="20 % - uthevingsfarge 1" xfId="19" builtinId="30" customBuiltin="1"/>
    <cellStyle name="20 % - uthevingsfarge 2" xfId="23" builtinId="34" customBuiltin="1"/>
    <cellStyle name="20 % - uthevingsfarge 3" xfId="27" builtinId="38" customBuiltin="1"/>
    <cellStyle name="20 % - uthevingsfarge 4" xfId="31" builtinId="42" customBuiltin="1"/>
    <cellStyle name="20 % - uthevingsfarge 5" xfId="35" builtinId="46" customBuiltin="1"/>
    <cellStyle name="20 % - uthevingsfarge 6" xfId="39" builtinId="50" customBuiltin="1"/>
    <cellStyle name="40 % - uthevingsfarge 1" xfId="20" builtinId="31" customBuiltin="1"/>
    <cellStyle name="40 % - uthevingsfarge 2" xfId="24" builtinId="35" customBuiltin="1"/>
    <cellStyle name="40 % - uthevingsfarge 3" xfId="28" builtinId="39" customBuiltin="1"/>
    <cellStyle name="40 % - uthevingsfarge 4" xfId="32" builtinId="43" customBuiltin="1"/>
    <cellStyle name="40 % - uthevingsfarge 5" xfId="36" builtinId="47" customBuiltin="1"/>
    <cellStyle name="40 % - uthevingsfarge 6" xfId="40" builtinId="51" customBuiltin="1"/>
    <cellStyle name="60 % - uthevingsfarge 1" xfId="21" builtinId="32" customBuiltin="1"/>
    <cellStyle name="60 % - uthevingsfarge 2" xfId="25" builtinId="36" customBuiltin="1"/>
    <cellStyle name="60 % - uthevingsfarge 3" xfId="29" builtinId="40" customBuiltin="1"/>
    <cellStyle name="60 % - uthevingsfarge 4" xfId="33" builtinId="44" customBuiltin="1"/>
    <cellStyle name="60 % - uthevingsfarge 5" xfId="37" builtinId="48" customBuiltin="1"/>
    <cellStyle name="60 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731"/>
  <sheetViews>
    <sheetView showGridLines="0" tabSelected="1" topLeftCell="A323" workbookViewId="0">
      <selection activeCell="L376" sqref="L376"/>
    </sheetView>
  </sheetViews>
  <sheetFormatPr baseColWidth="10" defaultRowHeight="15" x14ac:dyDescent="0.25"/>
  <cols>
    <col min="1" max="1" width="14.7109375" bestFit="1" customWidth="1"/>
    <col min="2" max="2" width="13.5703125" bestFit="1" customWidth="1"/>
    <col min="3" max="3" width="15.28515625" customWidth="1"/>
    <col min="4" max="4" width="20.28515625" bestFit="1" customWidth="1"/>
    <col min="5" max="5" width="23.28515625" bestFit="1" customWidth="1"/>
    <col min="6" max="6" width="15.140625" customWidth="1"/>
    <col min="7" max="7" width="23.28515625" customWidth="1"/>
    <col min="8" max="8" width="20.5703125" customWidth="1"/>
    <col min="9" max="9" width="26.710937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4"/>
      <c r="E1" s="4"/>
      <c r="F1" s="5"/>
    </row>
    <row r="2" spans="1:9" x14ac:dyDescent="0.25">
      <c r="A2" s="6"/>
      <c r="F2" s="7"/>
    </row>
    <row r="3" spans="1:9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8" t="s">
        <v>8</v>
      </c>
      <c r="G3" s="22" t="s">
        <v>391</v>
      </c>
      <c r="H3" s="11" t="s">
        <v>392</v>
      </c>
      <c r="I3" s="11" t="s">
        <v>429</v>
      </c>
    </row>
    <row r="4" spans="1:9" hidden="1" x14ac:dyDescent="0.25">
      <c r="A4" s="2">
        <v>42463.541666666664</v>
      </c>
      <c r="B4" s="3" t="str">
        <f>"02213101011"</f>
        <v>02213101011</v>
      </c>
      <c r="C4" s="3" t="s">
        <v>17</v>
      </c>
      <c r="D4" s="3" t="s">
        <v>12</v>
      </c>
      <c r="E4" s="3" t="s">
        <v>18</v>
      </c>
      <c r="F4" s="3" t="s">
        <v>19</v>
      </c>
    </row>
    <row r="5" spans="1:9" hidden="1" x14ac:dyDescent="0.25">
      <c r="A5" s="2">
        <v>42463.625</v>
      </c>
      <c r="B5" s="3" t="str">
        <f>"02114201011"</f>
        <v>02114201011</v>
      </c>
      <c r="C5" s="3" t="s">
        <v>20</v>
      </c>
      <c r="D5" s="3" t="s">
        <v>9</v>
      </c>
      <c r="E5" s="3" t="s">
        <v>21</v>
      </c>
      <c r="F5" s="3" t="s">
        <v>22</v>
      </c>
    </row>
    <row r="6" spans="1:9" hidden="1" x14ac:dyDescent="0.25">
      <c r="A6" s="2">
        <v>42466.770833333336</v>
      </c>
      <c r="B6" s="3" t="str">
        <f>"02114101005"</f>
        <v>02114101005</v>
      </c>
      <c r="C6" s="3" t="s">
        <v>36</v>
      </c>
      <c r="D6" s="3" t="s">
        <v>12</v>
      </c>
      <c r="E6" s="3" t="s">
        <v>37</v>
      </c>
      <c r="F6" s="3" t="s">
        <v>38</v>
      </c>
    </row>
    <row r="7" spans="1:9" hidden="1" x14ac:dyDescent="0.25">
      <c r="A7" s="2">
        <v>42466.770833333336</v>
      </c>
      <c r="B7" s="3" t="str">
        <f>"02214101002"</f>
        <v>02214101002</v>
      </c>
      <c r="C7" s="3" t="s">
        <v>39</v>
      </c>
      <c r="D7" s="3" t="s">
        <v>12</v>
      </c>
      <c r="E7" s="3" t="s">
        <v>40</v>
      </c>
      <c r="F7" s="3" t="s">
        <v>41</v>
      </c>
    </row>
    <row r="8" spans="1:9" hidden="1" x14ac:dyDescent="0.25">
      <c r="A8" s="2">
        <v>42467.770833333336</v>
      </c>
      <c r="B8" s="3" t="str">
        <f>"02119202010"</f>
        <v>02119202010</v>
      </c>
      <c r="C8" s="3" t="s">
        <v>42</v>
      </c>
      <c r="D8" s="3" t="s">
        <v>9</v>
      </c>
      <c r="E8" s="3" t="s">
        <v>43</v>
      </c>
      <c r="F8" s="3" t="s">
        <v>11</v>
      </c>
    </row>
    <row r="9" spans="1:9" hidden="1" x14ac:dyDescent="0.25">
      <c r="A9" s="2">
        <v>42469.625</v>
      </c>
      <c r="B9" s="3" t="str">
        <f>"02116101012"</f>
        <v>02116101012</v>
      </c>
      <c r="C9" s="3" t="s">
        <v>46</v>
      </c>
      <c r="D9" s="3" t="s">
        <v>12</v>
      </c>
      <c r="E9" s="3" t="s">
        <v>47</v>
      </c>
      <c r="F9" s="3" t="s">
        <v>16</v>
      </c>
    </row>
    <row r="10" spans="1:9" hidden="1" x14ac:dyDescent="0.25">
      <c r="A10" s="2">
        <v>42470.791666666664</v>
      </c>
      <c r="B10" s="3" t="str">
        <f>"02119101016"</f>
        <v>02119101016</v>
      </c>
      <c r="C10" s="3" t="s">
        <v>48</v>
      </c>
      <c r="D10" s="3" t="s">
        <v>12</v>
      </c>
      <c r="E10" s="3" t="s">
        <v>49</v>
      </c>
      <c r="F10" s="3" t="s">
        <v>24</v>
      </c>
    </row>
    <row r="11" spans="1:9" x14ac:dyDescent="0.25">
      <c r="A11" s="2">
        <v>42471.760416666664</v>
      </c>
      <c r="B11" s="3" t="str">
        <f>"02111108002"</f>
        <v>02111108002</v>
      </c>
      <c r="C11" s="3" t="s">
        <v>50</v>
      </c>
      <c r="D11" s="3" t="s">
        <v>30</v>
      </c>
      <c r="E11" s="3" t="s">
        <v>51</v>
      </c>
      <c r="F11" s="9" t="s">
        <v>52</v>
      </c>
      <c r="G11" s="16" t="s">
        <v>393</v>
      </c>
      <c r="H11" s="12" t="s">
        <v>394</v>
      </c>
      <c r="I11" s="10"/>
    </row>
    <row r="12" spans="1:9" hidden="1" x14ac:dyDescent="0.25">
      <c r="A12" s="2">
        <v>42471.770833333336</v>
      </c>
      <c r="B12" s="3" t="str">
        <f>"02114201018"</f>
        <v>02114201018</v>
      </c>
      <c r="C12" s="3" t="s">
        <v>53</v>
      </c>
      <c r="D12" s="3" t="s">
        <v>9</v>
      </c>
      <c r="E12" s="3" t="s">
        <v>54</v>
      </c>
      <c r="F12" s="3" t="s">
        <v>22</v>
      </c>
    </row>
    <row r="13" spans="1:9" hidden="1" x14ac:dyDescent="0.25">
      <c r="A13" s="2">
        <v>42471.8125</v>
      </c>
      <c r="B13" s="3" t="str">
        <f>"02120401010"</f>
        <v>02120401010</v>
      </c>
      <c r="C13" s="3" t="s">
        <v>57</v>
      </c>
      <c r="D13" s="3" t="s">
        <v>12</v>
      </c>
      <c r="E13" s="3" t="s">
        <v>58</v>
      </c>
      <c r="F13" s="3" t="s">
        <v>14</v>
      </c>
    </row>
    <row r="14" spans="1:9" hidden="1" x14ac:dyDescent="0.25">
      <c r="A14" s="2">
        <v>42471.854166666664</v>
      </c>
      <c r="B14" s="3" t="str">
        <f>"02220401011"</f>
        <v>02220401011</v>
      </c>
      <c r="C14" s="3" t="s">
        <v>60</v>
      </c>
      <c r="D14" s="3" t="s">
        <v>12</v>
      </c>
      <c r="E14" s="3" t="s">
        <v>61</v>
      </c>
      <c r="F14" s="3" t="s">
        <v>29</v>
      </c>
    </row>
    <row r="15" spans="1:9" x14ac:dyDescent="0.25">
      <c r="A15" s="2">
        <v>42472.760416666664</v>
      </c>
      <c r="B15" s="3" t="str">
        <f>"02111109003"</f>
        <v>02111109003</v>
      </c>
      <c r="C15" s="3" t="s">
        <v>62</v>
      </c>
      <c r="D15" s="3" t="s">
        <v>63</v>
      </c>
      <c r="E15" s="3" t="s">
        <v>51</v>
      </c>
      <c r="F15" s="9" t="s">
        <v>64</v>
      </c>
      <c r="G15" s="16" t="s">
        <v>395</v>
      </c>
      <c r="H15" s="12" t="s">
        <v>396</v>
      </c>
      <c r="I15" s="10"/>
    </row>
    <row r="16" spans="1:9" hidden="1" x14ac:dyDescent="0.25">
      <c r="A16" s="2">
        <v>42472.791666666664</v>
      </c>
      <c r="B16" s="3" t="str">
        <f>"02213301015"</f>
        <v>02213301015</v>
      </c>
      <c r="C16" s="3" t="s">
        <v>65</v>
      </c>
      <c r="D16" s="3" t="s">
        <v>32</v>
      </c>
      <c r="E16" s="3" t="s">
        <v>66</v>
      </c>
      <c r="F16" s="3" t="s">
        <v>35</v>
      </c>
    </row>
    <row r="17" spans="1:9" hidden="1" x14ac:dyDescent="0.25">
      <c r="A17" s="2">
        <v>42472.84375</v>
      </c>
      <c r="B17" s="3" t="str">
        <f>"02120601010"</f>
        <v>02120601010</v>
      </c>
      <c r="C17" s="3" t="s">
        <v>67</v>
      </c>
      <c r="D17" s="3" t="s">
        <v>9</v>
      </c>
      <c r="E17" s="3" t="s">
        <v>21</v>
      </c>
      <c r="F17" s="3" t="s">
        <v>31</v>
      </c>
    </row>
    <row r="18" spans="1:9" x14ac:dyDescent="0.25">
      <c r="A18" s="2">
        <v>42473.729166666664</v>
      </c>
      <c r="B18" s="3" t="str">
        <f>"02112107009"</f>
        <v>02112107009</v>
      </c>
      <c r="C18" s="3" t="s">
        <v>9</v>
      </c>
      <c r="D18" s="3" t="s">
        <v>68</v>
      </c>
      <c r="E18" s="3" t="s">
        <v>51</v>
      </c>
      <c r="F18" s="9" t="s">
        <v>69</v>
      </c>
      <c r="G18" s="16" t="s">
        <v>400</v>
      </c>
      <c r="H18" s="12" t="s">
        <v>401</v>
      </c>
      <c r="I18" s="10"/>
    </row>
    <row r="19" spans="1:9" x14ac:dyDescent="0.25">
      <c r="A19" s="2">
        <v>42473.8125</v>
      </c>
      <c r="B19" s="3" t="str">
        <f>"02212102002"</f>
        <v>02212102002</v>
      </c>
      <c r="C19" s="3" t="s">
        <v>9</v>
      </c>
      <c r="D19" s="3" t="s">
        <v>10</v>
      </c>
      <c r="E19" s="3" t="s">
        <v>51</v>
      </c>
      <c r="F19" s="9" t="s">
        <v>71</v>
      </c>
      <c r="G19" s="16" t="s">
        <v>397</v>
      </c>
      <c r="H19" s="12" t="s">
        <v>398</v>
      </c>
      <c r="I19" s="10"/>
    </row>
    <row r="20" spans="1:9" hidden="1" x14ac:dyDescent="0.25">
      <c r="A20" s="2">
        <v>42474.833333333336</v>
      </c>
      <c r="B20" s="3" t="str">
        <f>"02114932015"</f>
        <v>02114932015</v>
      </c>
      <c r="C20" s="3" t="s">
        <v>72</v>
      </c>
      <c r="D20" s="3" t="s">
        <v>25</v>
      </c>
      <c r="E20" s="3" t="s">
        <v>47</v>
      </c>
      <c r="F20" s="3" t="s">
        <v>27</v>
      </c>
    </row>
    <row r="21" spans="1:9" hidden="1" x14ac:dyDescent="0.25">
      <c r="A21" s="2">
        <v>42475.822916666664</v>
      </c>
      <c r="B21" s="3" t="str">
        <f>"02113922008"</f>
        <v>02113922008</v>
      </c>
      <c r="C21" s="3" t="s">
        <v>74</v>
      </c>
      <c r="D21" s="3" t="s">
        <v>9</v>
      </c>
      <c r="E21" s="3" t="s">
        <v>75</v>
      </c>
      <c r="F21" s="3" t="s">
        <v>45</v>
      </c>
    </row>
    <row r="22" spans="1:9" hidden="1" x14ac:dyDescent="0.25">
      <c r="A22" s="2">
        <v>42478.739583333336</v>
      </c>
      <c r="B22" s="3" t="str">
        <f>"02112105004"</f>
        <v>02112105004</v>
      </c>
      <c r="C22" s="3" t="s">
        <v>77</v>
      </c>
      <c r="D22" s="3" t="s">
        <v>12</v>
      </c>
      <c r="E22" s="3" t="s">
        <v>78</v>
      </c>
      <c r="F22" s="3" t="s">
        <v>79</v>
      </c>
    </row>
    <row r="23" spans="1:9" hidden="1" x14ac:dyDescent="0.25">
      <c r="A23" s="2">
        <v>42478.760416666664</v>
      </c>
      <c r="B23" s="3" t="str">
        <f>"02111109008"</f>
        <v>02111109008</v>
      </c>
      <c r="C23" s="3" t="s">
        <v>80</v>
      </c>
      <c r="D23" s="3" t="s">
        <v>62</v>
      </c>
      <c r="E23" s="3" t="s">
        <v>81</v>
      </c>
      <c r="F23" s="3" t="s">
        <v>64</v>
      </c>
    </row>
    <row r="24" spans="1:9" hidden="1" x14ac:dyDescent="0.25">
      <c r="A24" s="2">
        <v>42478.770833333336</v>
      </c>
      <c r="B24" s="3" t="str">
        <f>"02214101018"</f>
        <v>02214101018</v>
      </c>
      <c r="C24" s="3" t="s">
        <v>82</v>
      </c>
      <c r="D24" s="3" t="s">
        <v>12</v>
      </c>
      <c r="E24" s="3" t="s">
        <v>83</v>
      </c>
      <c r="F24" s="3" t="s">
        <v>41</v>
      </c>
    </row>
    <row r="25" spans="1:9" hidden="1" x14ac:dyDescent="0.25">
      <c r="A25" s="2">
        <v>42478.84375</v>
      </c>
      <c r="B25" s="3" t="str">
        <f>"02113912004"</f>
        <v>02113912004</v>
      </c>
      <c r="C25" s="3" t="s">
        <v>46</v>
      </c>
      <c r="D25" s="3" t="s">
        <v>12</v>
      </c>
      <c r="E25" s="3" t="s">
        <v>84</v>
      </c>
      <c r="F25" s="3" t="s">
        <v>85</v>
      </c>
    </row>
    <row r="26" spans="1:9" hidden="1" x14ac:dyDescent="0.25">
      <c r="A26" s="2">
        <v>42479.739583333336</v>
      </c>
      <c r="B26" s="3" t="str">
        <f>"02112107013"</f>
        <v>02112107013</v>
      </c>
      <c r="C26" s="3" t="s">
        <v>86</v>
      </c>
      <c r="D26" s="3" t="s">
        <v>9</v>
      </c>
      <c r="E26" s="3" t="s">
        <v>78</v>
      </c>
      <c r="F26" s="3" t="s">
        <v>69</v>
      </c>
    </row>
    <row r="27" spans="1:9" hidden="1" x14ac:dyDescent="0.25">
      <c r="A27" s="2">
        <v>42479.791666666664</v>
      </c>
      <c r="B27" s="3" t="str">
        <f>"02113921007"</f>
        <v>02113921007</v>
      </c>
      <c r="C27" s="3" t="s">
        <v>68</v>
      </c>
      <c r="D27" s="3" t="s">
        <v>25</v>
      </c>
      <c r="E27" s="3" t="s">
        <v>90</v>
      </c>
      <c r="F27" s="3" t="s">
        <v>56</v>
      </c>
    </row>
    <row r="28" spans="1:9" hidden="1" x14ac:dyDescent="0.25">
      <c r="A28" s="2">
        <v>42479.84375</v>
      </c>
      <c r="B28" s="3" t="str">
        <f>"02220401018"</f>
        <v>02220401018</v>
      </c>
      <c r="C28" s="3" t="s">
        <v>73</v>
      </c>
      <c r="D28" s="3" t="s">
        <v>12</v>
      </c>
      <c r="E28" s="3" t="s">
        <v>47</v>
      </c>
      <c r="F28" s="3" t="s">
        <v>29</v>
      </c>
    </row>
    <row r="29" spans="1:9" hidden="1" x14ac:dyDescent="0.25">
      <c r="A29" s="2">
        <v>42479.84375</v>
      </c>
      <c r="B29" s="3" t="str">
        <f>"02139701002"</f>
        <v>02139701002</v>
      </c>
      <c r="C29" s="3" t="s">
        <v>53</v>
      </c>
      <c r="D29" s="3" t="s">
        <v>12</v>
      </c>
      <c r="E29" s="3" t="s">
        <v>81</v>
      </c>
      <c r="F29" s="3" t="s">
        <v>92</v>
      </c>
    </row>
    <row r="30" spans="1:9" ht="16.5" hidden="1" x14ac:dyDescent="0.25">
      <c r="A30" s="2">
        <v>42480.8125</v>
      </c>
      <c r="B30" s="3" t="str">
        <f>"02212102009"</f>
        <v>02212102009</v>
      </c>
      <c r="C30" s="3" t="s">
        <v>93</v>
      </c>
      <c r="D30" s="3" t="s">
        <v>9</v>
      </c>
      <c r="E30" s="3" t="s">
        <v>94</v>
      </c>
      <c r="F30" s="27" t="s">
        <v>71</v>
      </c>
    </row>
    <row r="31" spans="1:9" x14ac:dyDescent="0.25">
      <c r="A31" s="2">
        <v>42478.708333333336</v>
      </c>
      <c r="B31" s="3" t="s">
        <v>481</v>
      </c>
      <c r="C31" s="3" t="s">
        <v>160</v>
      </c>
      <c r="D31" s="3" t="s">
        <v>459</v>
      </c>
      <c r="E31" s="9" t="s">
        <v>122</v>
      </c>
      <c r="F31" s="30" t="s">
        <v>458</v>
      </c>
      <c r="G31" s="21" t="s">
        <v>484</v>
      </c>
      <c r="H31" s="21" t="s">
        <v>420</v>
      </c>
      <c r="I31" s="34" t="s">
        <v>395</v>
      </c>
    </row>
    <row r="32" spans="1:9" x14ac:dyDescent="0.25">
      <c r="A32" s="2">
        <v>42479.75</v>
      </c>
      <c r="B32" s="26" t="s">
        <v>482</v>
      </c>
      <c r="C32" s="3" t="s">
        <v>160</v>
      </c>
      <c r="D32" s="3" t="s">
        <v>483</v>
      </c>
      <c r="E32" s="9" t="s">
        <v>122</v>
      </c>
      <c r="F32" s="30" t="s">
        <v>458</v>
      </c>
      <c r="G32" s="21" t="s">
        <v>419</v>
      </c>
      <c r="H32">
        <v>95065187</v>
      </c>
      <c r="I32" s="10"/>
    </row>
    <row r="33" spans="1:9" x14ac:dyDescent="0.25">
      <c r="A33" s="2">
        <v>42480.8125</v>
      </c>
      <c r="B33" s="3" t="str">
        <f>"02212101009"</f>
        <v>02212101009</v>
      </c>
      <c r="C33" s="3" t="s">
        <v>12</v>
      </c>
      <c r="D33" s="3" t="s">
        <v>95</v>
      </c>
      <c r="E33" s="3" t="s">
        <v>51</v>
      </c>
      <c r="F33" s="28" t="s">
        <v>96</v>
      </c>
      <c r="G33" s="16" t="s">
        <v>399</v>
      </c>
      <c r="H33" s="17">
        <v>41385568</v>
      </c>
      <c r="I33" s="10"/>
    </row>
    <row r="34" spans="1:9" hidden="1" x14ac:dyDescent="0.25">
      <c r="A34" s="2">
        <v>42480.857638888891</v>
      </c>
      <c r="B34" s="3" t="str">
        <f>"02116101024"</f>
        <v>02116101024</v>
      </c>
      <c r="C34" s="3" t="s">
        <v>68</v>
      </c>
      <c r="D34" s="3" t="s">
        <v>12</v>
      </c>
      <c r="E34" s="3" t="s">
        <v>97</v>
      </c>
      <c r="F34" s="3" t="s">
        <v>16</v>
      </c>
    </row>
    <row r="35" spans="1:9" x14ac:dyDescent="0.25">
      <c r="A35" s="2">
        <v>42481.75</v>
      </c>
      <c r="B35" s="3" t="str">
        <f>"02209105004"</f>
        <v>02209105004</v>
      </c>
      <c r="C35" s="3" t="s">
        <v>98</v>
      </c>
      <c r="D35" s="3" t="s">
        <v>99</v>
      </c>
      <c r="E35" s="3" t="s">
        <v>100</v>
      </c>
      <c r="F35" s="9" t="s">
        <v>101</v>
      </c>
      <c r="G35" s="21" t="s">
        <v>431</v>
      </c>
      <c r="H35" s="21" t="s">
        <v>432</v>
      </c>
      <c r="I35" s="34" t="s">
        <v>406</v>
      </c>
    </row>
    <row r="36" spans="1:9" hidden="1" x14ac:dyDescent="0.25">
      <c r="A36" s="2">
        <v>42481.770833333336</v>
      </c>
      <c r="B36" s="3" t="str">
        <f>"02111108009"</f>
        <v>02111108009</v>
      </c>
      <c r="C36" s="3" t="s">
        <v>103</v>
      </c>
      <c r="D36" s="3" t="s">
        <v>50</v>
      </c>
      <c r="E36" s="3" t="s">
        <v>104</v>
      </c>
      <c r="F36" s="3" t="s">
        <v>52</v>
      </c>
    </row>
    <row r="37" spans="1:9" hidden="1" x14ac:dyDescent="0.25">
      <c r="A37" s="2">
        <v>42481.854166666664</v>
      </c>
      <c r="B37" s="3" t="str">
        <f>"02119202023"</f>
        <v>02119202023</v>
      </c>
      <c r="C37" s="3" t="s">
        <v>105</v>
      </c>
      <c r="D37" s="3" t="s">
        <v>9</v>
      </c>
      <c r="E37" s="3" t="s">
        <v>97</v>
      </c>
      <c r="F37" s="3" t="s">
        <v>11</v>
      </c>
    </row>
    <row r="38" spans="1:9" hidden="1" x14ac:dyDescent="0.25">
      <c r="A38" s="2">
        <v>42481.854166666664</v>
      </c>
      <c r="B38" s="3" t="str">
        <f>"02114101014"</f>
        <v>02114101014</v>
      </c>
      <c r="C38" s="3" t="s">
        <v>106</v>
      </c>
      <c r="D38" s="3" t="s">
        <v>12</v>
      </c>
      <c r="E38" s="3" t="s">
        <v>107</v>
      </c>
      <c r="F38" s="3" t="s">
        <v>38</v>
      </c>
    </row>
    <row r="39" spans="1:9" x14ac:dyDescent="0.25">
      <c r="A39" s="2">
        <v>42483.541666666664</v>
      </c>
      <c r="B39" s="3" t="str">
        <f>"02111103004"</f>
        <v>02111103004</v>
      </c>
      <c r="C39" s="3" t="s">
        <v>109</v>
      </c>
      <c r="D39" s="3" t="s">
        <v>74</v>
      </c>
      <c r="E39" s="3" t="s">
        <v>51</v>
      </c>
      <c r="F39" s="9" t="s">
        <v>110</v>
      </c>
      <c r="G39" s="16" t="s">
        <v>402</v>
      </c>
      <c r="H39" s="12" t="s">
        <v>403</v>
      </c>
      <c r="I39" s="10"/>
    </row>
    <row r="40" spans="1:9" hidden="1" x14ac:dyDescent="0.25">
      <c r="A40" s="2">
        <v>42483.604166666664</v>
      </c>
      <c r="B40" s="3" t="str">
        <f>"02108105004"</f>
        <v>02108105004</v>
      </c>
      <c r="C40" s="3" t="s">
        <v>111</v>
      </c>
      <c r="D40" s="3" t="s">
        <v>112</v>
      </c>
      <c r="E40" s="3" t="s">
        <v>113</v>
      </c>
      <c r="F40" s="3" t="s">
        <v>114</v>
      </c>
    </row>
    <row r="41" spans="1:9" hidden="1" x14ac:dyDescent="0.25">
      <c r="A41" s="2">
        <v>42483.625</v>
      </c>
      <c r="B41" s="3" t="str">
        <f>"02120401025"</f>
        <v>02120401025</v>
      </c>
      <c r="C41" s="3" t="s">
        <v>108</v>
      </c>
      <c r="D41" s="3" t="s">
        <v>12</v>
      </c>
      <c r="E41" s="3" t="s">
        <v>115</v>
      </c>
      <c r="F41" s="3" t="s">
        <v>14</v>
      </c>
    </row>
    <row r="42" spans="1:9" hidden="1" x14ac:dyDescent="0.25">
      <c r="A42" s="2">
        <v>42483.645833333336</v>
      </c>
      <c r="B42" s="3" t="str">
        <f>"02108105003"</f>
        <v>02108105003</v>
      </c>
      <c r="C42" s="3" t="s">
        <v>116</v>
      </c>
      <c r="D42" s="3" t="s">
        <v>98</v>
      </c>
      <c r="E42" s="3" t="s">
        <v>113</v>
      </c>
      <c r="F42" s="3" t="s">
        <v>114</v>
      </c>
    </row>
    <row r="43" spans="1:9" hidden="1" x14ac:dyDescent="0.25">
      <c r="A43" s="2">
        <v>42484.541666666664</v>
      </c>
      <c r="B43" s="3" t="str">
        <f>"02119101025"</f>
        <v>02119101025</v>
      </c>
      <c r="C43" s="3" t="s">
        <v>55</v>
      </c>
      <c r="D43" s="3" t="s">
        <v>12</v>
      </c>
      <c r="E43" s="3" t="s">
        <v>117</v>
      </c>
      <c r="F43" s="3" t="s">
        <v>24</v>
      </c>
    </row>
    <row r="44" spans="1:9" hidden="1" x14ac:dyDescent="0.25">
      <c r="A44" s="2">
        <v>42484.697916666664</v>
      </c>
      <c r="B44" s="3" t="str">
        <f>"02111104004"</f>
        <v>02111104004</v>
      </c>
      <c r="C44" s="3" t="s">
        <v>73</v>
      </c>
      <c r="D44" s="3" t="s">
        <v>9</v>
      </c>
      <c r="E44" s="3" t="s">
        <v>118</v>
      </c>
      <c r="F44" s="3" t="s">
        <v>119</v>
      </c>
    </row>
    <row r="45" spans="1:9" x14ac:dyDescent="0.25">
      <c r="A45" s="2">
        <v>42485.708333333336</v>
      </c>
      <c r="B45" s="26">
        <v>2107113004</v>
      </c>
      <c r="C45" s="3" t="s">
        <v>112</v>
      </c>
      <c r="D45" s="3" t="s">
        <v>461</v>
      </c>
      <c r="E45" s="3" t="s">
        <v>100</v>
      </c>
      <c r="F45" s="9" t="s">
        <v>460</v>
      </c>
      <c r="G45" s="21" t="s">
        <v>485</v>
      </c>
      <c r="H45" s="21" t="s">
        <v>486</v>
      </c>
      <c r="I45" s="34" t="s">
        <v>404</v>
      </c>
    </row>
    <row r="46" spans="1:9" x14ac:dyDescent="0.25">
      <c r="A46" s="2">
        <v>42485.708333333336</v>
      </c>
      <c r="B46" s="3" t="str">
        <f>"02207101003"</f>
        <v>02207101003</v>
      </c>
      <c r="C46" s="3" t="s">
        <v>120</v>
      </c>
      <c r="D46" s="3" t="s">
        <v>121</v>
      </c>
      <c r="E46" s="3" t="s">
        <v>122</v>
      </c>
      <c r="F46" s="9" t="s">
        <v>123</v>
      </c>
      <c r="G46" s="16" t="s">
        <v>404</v>
      </c>
      <c r="H46" s="12" t="s">
        <v>405</v>
      </c>
      <c r="I46" s="10"/>
    </row>
    <row r="47" spans="1:9" x14ac:dyDescent="0.25">
      <c r="A47" s="2">
        <v>42485.75</v>
      </c>
      <c r="B47" s="3" t="str">
        <f>"02207101004"</f>
        <v>02207101004</v>
      </c>
      <c r="C47" s="3" t="s">
        <v>124</v>
      </c>
      <c r="D47" s="3" t="s">
        <v>125</v>
      </c>
      <c r="E47" s="3" t="s">
        <v>122</v>
      </c>
      <c r="F47" s="9" t="s">
        <v>123</v>
      </c>
      <c r="G47" s="16" t="s">
        <v>412</v>
      </c>
      <c r="H47" s="12" t="s">
        <v>413</v>
      </c>
      <c r="I47" s="10"/>
    </row>
    <row r="48" spans="1:9" x14ac:dyDescent="0.25">
      <c r="A48" s="2">
        <v>42485.75</v>
      </c>
      <c r="B48" s="3" t="str">
        <f>"02207103003"</f>
        <v>02207103003</v>
      </c>
      <c r="C48" s="3" t="s">
        <v>98</v>
      </c>
      <c r="D48" s="3" t="s">
        <v>126</v>
      </c>
      <c r="E48" s="3" t="s">
        <v>100</v>
      </c>
      <c r="F48" s="9" t="s">
        <v>127</v>
      </c>
      <c r="G48" s="16" t="s">
        <v>416</v>
      </c>
      <c r="H48" s="12" t="s">
        <v>417</v>
      </c>
      <c r="I48" s="10"/>
    </row>
    <row r="49" spans="1:9" hidden="1" x14ac:dyDescent="0.25">
      <c r="A49" s="2">
        <v>42485.791666666664</v>
      </c>
      <c r="B49" s="3" t="str">
        <f>"02113701003"</f>
        <v>02113701003</v>
      </c>
      <c r="C49" s="3" t="s">
        <v>130</v>
      </c>
      <c r="D49" s="3" t="s">
        <v>109</v>
      </c>
      <c r="E49" s="3" t="s">
        <v>78</v>
      </c>
      <c r="F49" s="3" t="s">
        <v>131</v>
      </c>
    </row>
    <row r="50" spans="1:9" x14ac:dyDescent="0.25">
      <c r="A50" s="2">
        <v>42485.791666666664</v>
      </c>
      <c r="B50" s="3" t="str">
        <f>"02211104004"</f>
        <v>02211104004</v>
      </c>
      <c r="C50" s="3" t="s">
        <v>12</v>
      </c>
      <c r="D50" s="3" t="s">
        <v>46</v>
      </c>
      <c r="E50" s="3" t="s">
        <v>51</v>
      </c>
      <c r="F50" s="9" t="s">
        <v>132</v>
      </c>
      <c r="G50" s="16" t="s">
        <v>406</v>
      </c>
      <c r="H50" s="12" t="s">
        <v>407</v>
      </c>
      <c r="I50" s="10"/>
    </row>
    <row r="51" spans="1:9" hidden="1" x14ac:dyDescent="0.25">
      <c r="A51" s="2">
        <v>42485.802083333336</v>
      </c>
      <c r="B51" s="3" t="str">
        <f>"02111101004"</f>
        <v>02111101004</v>
      </c>
      <c r="C51" s="3" t="s">
        <v>48</v>
      </c>
      <c r="D51" s="3" t="s">
        <v>12</v>
      </c>
      <c r="E51" s="3" t="s">
        <v>133</v>
      </c>
      <c r="F51" s="3" t="s">
        <v>134</v>
      </c>
    </row>
    <row r="52" spans="1:9" hidden="1" x14ac:dyDescent="0.25">
      <c r="A52" s="2">
        <v>42485.833333333336</v>
      </c>
      <c r="B52" s="3" t="str">
        <f>"02114201028"</f>
        <v>02114201028</v>
      </c>
      <c r="C52" s="3" t="s">
        <v>46</v>
      </c>
      <c r="D52" s="3" t="s">
        <v>9</v>
      </c>
      <c r="E52" s="3" t="s">
        <v>135</v>
      </c>
      <c r="F52" s="3" t="s">
        <v>22</v>
      </c>
    </row>
    <row r="53" spans="1:9" x14ac:dyDescent="0.25">
      <c r="A53" s="2">
        <v>42485.84375</v>
      </c>
      <c r="B53" s="3" t="str">
        <f>"02112107018"</f>
        <v>02112107018</v>
      </c>
      <c r="C53" s="3" t="s">
        <v>9</v>
      </c>
      <c r="D53" s="3" t="s">
        <v>39</v>
      </c>
      <c r="E53" s="3" t="s">
        <v>51</v>
      </c>
      <c r="F53" s="9" t="s">
        <v>69</v>
      </c>
      <c r="G53" s="16" t="s">
        <v>400</v>
      </c>
      <c r="H53" s="12" t="s">
        <v>401</v>
      </c>
      <c r="I53" s="10"/>
    </row>
    <row r="54" spans="1:9" hidden="1" x14ac:dyDescent="0.25">
      <c r="A54" s="2">
        <v>42485.84375</v>
      </c>
      <c r="B54" s="3" t="str">
        <f>"02116301013"</f>
        <v>02116301013</v>
      </c>
      <c r="C54" s="3" t="s">
        <v>36</v>
      </c>
      <c r="D54" s="3" t="s">
        <v>87</v>
      </c>
      <c r="E54" s="3" t="s">
        <v>136</v>
      </c>
      <c r="F54" s="3" t="s">
        <v>89</v>
      </c>
    </row>
    <row r="55" spans="1:9" ht="15" customHeight="1" x14ac:dyDescent="0.25">
      <c r="A55" s="2">
        <v>42485.84375</v>
      </c>
      <c r="B55" s="3" t="str">
        <f>"02220702003"</f>
        <v>02220702003</v>
      </c>
      <c r="C55" s="3" t="s">
        <v>12</v>
      </c>
      <c r="D55" s="3" t="s">
        <v>137</v>
      </c>
      <c r="E55" s="3" t="s">
        <v>34</v>
      </c>
      <c r="F55" s="9" t="s">
        <v>138</v>
      </c>
      <c r="G55" s="31" t="s">
        <v>487</v>
      </c>
      <c r="H55" s="21" t="s">
        <v>488</v>
      </c>
      <c r="I55" s="10"/>
    </row>
    <row r="56" spans="1:9" x14ac:dyDescent="0.25">
      <c r="A56" s="2">
        <v>42486.708333333336</v>
      </c>
      <c r="B56" s="3" t="str">
        <f>"02108102003"</f>
        <v>02108102003</v>
      </c>
      <c r="C56" s="3" t="s">
        <v>120</v>
      </c>
      <c r="D56" s="3" t="s">
        <v>139</v>
      </c>
      <c r="E56" s="3" t="s">
        <v>122</v>
      </c>
      <c r="F56" s="9" t="s">
        <v>140</v>
      </c>
      <c r="G56" s="16" t="s">
        <v>442</v>
      </c>
      <c r="H56" s="16" t="s">
        <v>443</v>
      </c>
      <c r="I56" s="16"/>
    </row>
    <row r="57" spans="1:9" x14ac:dyDescent="0.25">
      <c r="A57" s="2">
        <v>42486.75</v>
      </c>
      <c r="B57" s="3" t="str">
        <f>"02108102004"</f>
        <v>02108102004</v>
      </c>
      <c r="C57" s="3" t="s">
        <v>124</v>
      </c>
      <c r="D57" s="3" t="s">
        <v>141</v>
      </c>
      <c r="E57" s="3" t="s">
        <v>122</v>
      </c>
      <c r="F57" s="9" t="s">
        <v>140</v>
      </c>
      <c r="G57" s="16" t="s">
        <v>418</v>
      </c>
      <c r="H57" s="12">
        <v>92096292</v>
      </c>
      <c r="I57" s="10"/>
    </row>
    <row r="58" spans="1:9" x14ac:dyDescent="0.25">
      <c r="A58" s="2">
        <v>42486.75</v>
      </c>
      <c r="B58" s="3" t="str">
        <f>"02110114004"</f>
        <v>02110114004</v>
      </c>
      <c r="C58" s="3" t="s">
        <v>112</v>
      </c>
      <c r="D58" s="3" t="s">
        <v>142</v>
      </c>
      <c r="E58" s="3" t="s">
        <v>100</v>
      </c>
      <c r="F58" s="9" t="s">
        <v>143</v>
      </c>
      <c r="G58" s="16" t="s">
        <v>421</v>
      </c>
      <c r="H58" s="20" t="s">
        <v>422</v>
      </c>
      <c r="I58" s="10"/>
    </row>
    <row r="59" spans="1:9" hidden="1" x14ac:dyDescent="0.25">
      <c r="A59" s="2">
        <v>42486.760416666664</v>
      </c>
      <c r="B59" s="3" t="str">
        <f>"02213101028"</f>
        <v>02213101028</v>
      </c>
      <c r="C59" s="3" t="s">
        <v>95</v>
      </c>
      <c r="D59" s="3" t="s">
        <v>12</v>
      </c>
      <c r="E59" s="3" t="s">
        <v>144</v>
      </c>
      <c r="F59" s="3" t="s">
        <v>19</v>
      </c>
    </row>
    <row r="60" spans="1:9" x14ac:dyDescent="0.25">
      <c r="A60" s="2">
        <v>42486.791666666664</v>
      </c>
      <c r="B60" s="3" t="str">
        <f>"02111109013"</f>
        <v>02111109013</v>
      </c>
      <c r="C60" s="3" t="s">
        <v>62</v>
      </c>
      <c r="D60" s="3" t="s">
        <v>67</v>
      </c>
      <c r="E60" s="3" t="s">
        <v>51</v>
      </c>
      <c r="F60" s="9" t="s">
        <v>64</v>
      </c>
      <c r="G60" s="16" t="s">
        <v>410</v>
      </c>
      <c r="H60" s="12" t="s">
        <v>411</v>
      </c>
      <c r="I60" s="10"/>
    </row>
    <row r="61" spans="1:9" hidden="1" x14ac:dyDescent="0.25">
      <c r="A61" s="2">
        <v>42486.84375</v>
      </c>
      <c r="B61" s="3" t="str">
        <f>"02119202030"</f>
        <v>02119202030</v>
      </c>
      <c r="C61" s="3" t="s">
        <v>65</v>
      </c>
      <c r="D61" s="3" t="s">
        <v>9</v>
      </c>
      <c r="E61" s="3" t="s">
        <v>145</v>
      </c>
      <c r="F61" s="3" t="s">
        <v>11</v>
      </c>
    </row>
    <row r="62" spans="1:9" hidden="1" x14ac:dyDescent="0.25">
      <c r="A62" s="2">
        <v>42486.84375</v>
      </c>
      <c r="B62" s="3" t="str">
        <f>"02120601023"</f>
        <v>02120601023</v>
      </c>
      <c r="C62" s="3" t="s">
        <v>53</v>
      </c>
      <c r="D62" s="3" t="s">
        <v>9</v>
      </c>
      <c r="E62" s="3" t="s">
        <v>54</v>
      </c>
      <c r="F62" s="3" t="s">
        <v>31</v>
      </c>
    </row>
    <row r="63" spans="1:9" x14ac:dyDescent="0.25">
      <c r="A63" s="2">
        <v>42487.708333333336</v>
      </c>
      <c r="B63" s="3" t="str">
        <f>"02108108004"</f>
        <v>02108108004</v>
      </c>
      <c r="C63" s="3" t="s">
        <v>148</v>
      </c>
      <c r="D63" s="3" t="s">
        <v>149</v>
      </c>
      <c r="E63" s="3" t="s">
        <v>122</v>
      </c>
      <c r="F63" s="9" t="s">
        <v>150</v>
      </c>
      <c r="G63" s="16" t="s">
        <v>423</v>
      </c>
      <c r="H63" s="12" t="s">
        <v>424</v>
      </c>
      <c r="I63" s="10"/>
    </row>
    <row r="64" spans="1:9" hidden="1" x14ac:dyDescent="0.25">
      <c r="A64" s="2">
        <v>42487.708333333336</v>
      </c>
      <c r="B64" s="3" t="str">
        <f>"02107101003"</f>
        <v>02107101003</v>
      </c>
      <c r="C64" s="3" t="s">
        <v>151</v>
      </c>
      <c r="D64" s="3" t="s">
        <v>120</v>
      </c>
      <c r="E64" s="3" t="s">
        <v>152</v>
      </c>
      <c r="F64" s="3" t="s">
        <v>153</v>
      </c>
    </row>
    <row r="65" spans="1:9" hidden="1" x14ac:dyDescent="0.25">
      <c r="A65" s="2">
        <v>42487.708333333336</v>
      </c>
      <c r="B65" s="3" t="str">
        <f>"02110115002"</f>
        <v>02110115002</v>
      </c>
      <c r="C65" s="3" t="s">
        <v>154</v>
      </c>
      <c r="D65" s="3" t="s">
        <v>98</v>
      </c>
      <c r="E65" s="3" t="s">
        <v>155</v>
      </c>
      <c r="F65" s="3" t="s">
        <v>156</v>
      </c>
    </row>
    <row r="66" spans="1:9" x14ac:dyDescent="0.25">
      <c r="A66" s="2">
        <v>42487.75</v>
      </c>
      <c r="B66" s="3" t="str">
        <f>"02209102004"</f>
        <v>02209102004</v>
      </c>
      <c r="C66" s="3" t="s">
        <v>124</v>
      </c>
      <c r="D66" s="3" t="s">
        <v>157</v>
      </c>
      <c r="E66" s="3" t="s">
        <v>100</v>
      </c>
      <c r="F66" s="9" t="s">
        <v>158</v>
      </c>
      <c r="G66" s="16" t="s">
        <v>495</v>
      </c>
      <c r="H66" s="12" t="s">
        <v>426</v>
      </c>
      <c r="I66" s="10"/>
    </row>
    <row r="67" spans="1:9" hidden="1" x14ac:dyDescent="0.25">
      <c r="A67" s="2">
        <v>42487.75</v>
      </c>
      <c r="B67" s="3" t="str">
        <f>"02107101004"</f>
        <v>02107101004</v>
      </c>
      <c r="C67" s="3" t="s">
        <v>159</v>
      </c>
      <c r="D67" s="3" t="s">
        <v>124</v>
      </c>
      <c r="E67" s="3" t="s">
        <v>152</v>
      </c>
      <c r="F67" s="3" t="s">
        <v>153</v>
      </c>
    </row>
    <row r="68" spans="1:9" x14ac:dyDescent="0.25">
      <c r="A68" s="2">
        <v>42487.75</v>
      </c>
      <c r="B68" s="3" t="str">
        <f>"02108108003"</f>
        <v>02108108003</v>
      </c>
      <c r="C68" s="3" t="s">
        <v>160</v>
      </c>
      <c r="D68" s="3" t="s">
        <v>161</v>
      </c>
      <c r="E68" s="3" t="s">
        <v>122</v>
      </c>
      <c r="F68" s="9" t="s">
        <v>150</v>
      </c>
      <c r="G68" s="16" t="s">
        <v>393</v>
      </c>
      <c r="H68" s="12" t="s">
        <v>394</v>
      </c>
      <c r="I68" s="10"/>
    </row>
    <row r="69" spans="1:9" x14ac:dyDescent="0.25">
      <c r="A69" s="2">
        <v>42487.791666666664</v>
      </c>
      <c r="B69" s="3" t="str">
        <f>"02209102003"</f>
        <v>02209102003</v>
      </c>
      <c r="C69" s="3" t="s">
        <v>120</v>
      </c>
      <c r="D69" s="3" t="s">
        <v>162</v>
      </c>
      <c r="E69" s="3" t="s">
        <v>100</v>
      </c>
      <c r="F69" s="9" t="s">
        <v>158</v>
      </c>
      <c r="G69" s="21" t="s">
        <v>427</v>
      </c>
      <c r="H69" s="21" t="s">
        <v>428</v>
      </c>
      <c r="I69" s="10"/>
    </row>
    <row r="70" spans="1:9" hidden="1" x14ac:dyDescent="0.25">
      <c r="A70" s="2">
        <v>42487.791666666664</v>
      </c>
      <c r="B70" s="3" t="str">
        <f>"02107114004"</f>
        <v>02107114004</v>
      </c>
      <c r="C70" s="3" t="s">
        <v>163</v>
      </c>
      <c r="D70" s="3" t="s">
        <v>98</v>
      </c>
      <c r="E70" s="3" t="s">
        <v>113</v>
      </c>
      <c r="F70" s="3" t="s">
        <v>164</v>
      </c>
    </row>
    <row r="71" spans="1:9" hidden="1" x14ac:dyDescent="0.25">
      <c r="A71" s="2">
        <v>42487.8125</v>
      </c>
      <c r="B71" s="3" t="str">
        <f>"02212101013"</f>
        <v>02212101013</v>
      </c>
      <c r="C71" s="3" t="s">
        <v>165</v>
      </c>
      <c r="D71" s="3" t="s">
        <v>12</v>
      </c>
      <c r="E71" s="3" t="s">
        <v>66</v>
      </c>
      <c r="F71" s="3" t="s">
        <v>96</v>
      </c>
    </row>
    <row r="72" spans="1:9" x14ac:dyDescent="0.25">
      <c r="A72" s="2">
        <v>42487.791666666664</v>
      </c>
      <c r="B72" s="3" t="str">
        <f>"02110112002"</f>
        <v>02110112002</v>
      </c>
      <c r="C72" s="3" t="s">
        <v>124</v>
      </c>
      <c r="D72" s="3" t="s">
        <v>174</v>
      </c>
      <c r="E72" s="3" t="s">
        <v>100</v>
      </c>
      <c r="F72" s="9" t="s">
        <v>175</v>
      </c>
      <c r="G72" s="21" t="s">
        <v>419</v>
      </c>
      <c r="H72" s="21" t="s">
        <v>420</v>
      </c>
      <c r="I72" s="10"/>
    </row>
    <row r="73" spans="1:9" x14ac:dyDescent="0.25">
      <c r="A73" s="2">
        <v>42487.84375</v>
      </c>
      <c r="B73" s="3" t="str">
        <f>"02111111002"</f>
        <v>02111111002</v>
      </c>
      <c r="C73" s="3" t="s">
        <v>25</v>
      </c>
      <c r="D73" s="3" t="s">
        <v>166</v>
      </c>
      <c r="E73" s="3" t="s">
        <v>51</v>
      </c>
      <c r="F73" s="9" t="s">
        <v>167</v>
      </c>
      <c r="G73" s="16" t="s">
        <v>408</v>
      </c>
      <c r="H73" s="12" t="s">
        <v>409</v>
      </c>
      <c r="I73" s="10"/>
    </row>
    <row r="74" spans="1:9" hidden="1" x14ac:dyDescent="0.25">
      <c r="A74" s="2">
        <v>42488.708333333336</v>
      </c>
      <c r="B74" s="3" t="str">
        <f>"02109105003"</f>
        <v>02109105003</v>
      </c>
      <c r="C74" s="3" t="s">
        <v>168</v>
      </c>
      <c r="D74" s="3" t="s">
        <v>98</v>
      </c>
      <c r="E74" s="3" t="s">
        <v>169</v>
      </c>
      <c r="F74" s="3" t="s">
        <v>170</v>
      </c>
    </row>
    <row r="75" spans="1:9" hidden="1" x14ac:dyDescent="0.25">
      <c r="A75" s="2">
        <v>42488.75</v>
      </c>
      <c r="B75" s="3" t="str">
        <f>"02109106002"</f>
        <v>02109106002</v>
      </c>
      <c r="C75" s="3" t="s">
        <v>171</v>
      </c>
      <c r="D75" s="3" t="s">
        <v>124</v>
      </c>
      <c r="E75" s="3" t="s">
        <v>172</v>
      </c>
      <c r="F75" s="3" t="s">
        <v>173</v>
      </c>
    </row>
    <row r="76" spans="1:9" hidden="1" x14ac:dyDescent="0.25">
      <c r="A76" s="2">
        <v>42488.75</v>
      </c>
      <c r="B76" s="3" t="str">
        <f>"02109105004"</f>
        <v>02109105004</v>
      </c>
      <c r="C76" s="3" t="s">
        <v>176</v>
      </c>
      <c r="D76" s="3" t="s">
        <v>112</v>
      </c>
      <c r="E76" s="3" t="s">
        <v>169</v>
      </c>
      <c r="F76" s="3" t="s">
        <v>170</v>
      </c>
    </row>
    <row r="77" spans="1:9" hidden="1" x14ac:dyDescent="0.25">
      <c r="A77" s="2">
        <v>42488.791666666664</v>
      </c>
      <c r="B77" s="3" t="str">
        <f>"02109106001"</f>
        <v>02109106001</v>
      </c>
      <c r="C77" s="3" t="s">
        <v>177</v>
      </c>
      <c r="D77" s="3" t="s">
        <v>120</v>
      </c>
      <c r="E77" s="3" t="s">
        <v>172</v>
      </c>
      <c r="F77" s="3" t="s">
        <v>173</v>
      </c>
    </row>
    <row r="78" spans="1:9" x14ac:dyDescent="0.25">
      <c r="A78" s="2">
        <v>42488.791666666664</v>
      </c>
      <c r="B78" s="3" t="str">
        <f>"02110112001"</f>
        <v>02110112001</v>
      </c>
      <c r="C78" s="3" t="s">
        <v>120</v>
      </c>
      <c r="D78" s="3" t="s">
        <v>178</v>
      </c>
      <c r="E78" s="3" t="s">
        <v>100</v>
      </c>
      <c r="F78" s="9" t="s">
        <v>175</v>
      </c>
      <c r="G78" s="12" t="s">
        <v>431</v>
      </c>
      <c r="H78" s="12" t="s">
        <v>432</v>
      </c>
      <c r="I78" s="34" t="s">
        <v>395</v>
      </c>
    </row>
    <row r="79" spans="1:9" x14ac:dyDescent="0.25">
      <c r="A79" s="2">
        <v>42488.84375</v>
      </c>
      <c r="B79" s="3" t="str">
        <f>"02112105007"</f>
        <v>02112105007</v>
      </c>
      <c r="C79" s="3" t="s">
        <v>12</v>
      </c>
      <c r="D79" s="3" t="s">
        <v>95</v>
      </c>
      <c r="E79" s="3" t="s">
        <v>51</v>
      </c>
      <c r="F79" s="9" t="s">
        <v>79</v>
      </c>
      <c r="G79" s="16" t="s">
        <v>395</v>
      </c>
      <c r="H79" s="12" t="s">
        <v>396</v>
      </c>
      <c r="I79" s="10"/>
    </row>
    <row r="80" spans="1:9" ht="15" customHeight="1" x14ac:dyDescent="0.25">
      <c r="A80" s="2">
        <v>42489.770833333336</v>
      </c>
      <c r="B80" s="26" t="s">
        <v>467</v>
      </c>
      <c r="C80" s="3" t="s">
        <v>62</v>
      </c>
      <c r="D80" s="3" t="s">
        <v>182</v>
      </c>
      <c r="E80" s="3" t="s">
        <v>34</v>
      </c>
      <c r="F80" s="9" t="s">
        <v>462</v>
      </c>
      <c r="G80" s="31" t="s">
        <v>487</v>
      </c>
      <c r="H80" s="12" t="s">
        <v>488</v>
      </c>
      <c r="I80" s="21"/>
    </row>
    <row r="81" spans="1:9" x14ac:dyDescent="0.25">
      <c r="A81" s="2">
        <v>42489.75</v>
      </c>
      <c r="B81" s="26" t="str">
        <f>"02210102004"</f>
        <v>02210102004</v>
      </c>
      <c r="C81" s="3" t="s">
        <v>124</v>
      </c>
      <c r="D81" s="3" t="s">
        <v>180</v>
      </c>
      <c r="E81" s="3" t="s">
        <v>100</v>
      </c>
      <c r="F81" s="9" t="s">
        <v>181</v>
      </c>
      <c r="G81" s="16" t="s">
        <v>445</v>
      </c>
      <c r="H81" s="12" t="s">
        <v>446</v>
      </c>
      <c r="I81" s="21"/>
    </row>
    <row r="82" spans="1:9" x14ac:dyDescent="0.25">
      <c r="A82" s="2">
        <v>42489.791666666664</v>
      </c>
      <c r="B82" s="26" t="str">
        <f>"02210102003"</f>
        <v>02210102003</v>
      </c>
      <c r="C82" s="3" t="s">
        <v>120</v>
      </c>
      <c r="D82" s="3" t="s">
        <v>184</v>
      </c>
      <c r="E82" s="3" t="s">
        <v>100</v>
      </c>
      <c r="F82" s="9" t="s">
        <v>181</v>
      </c>
      <c r="G82" s="12" t="s">
        <v>448</v>
      </c>
      <c r="H82" s="12" t="s">
        <v>449</v>
      </c>
      <c r="I82" s="21"/>
    </row>
    <row r="83" spans="1:9" hidden="1" x14ac:dyDescent="0.25">
      <c r="A83" s="2">
        <v>42490.489583333336</v>
      </c>
      <c r="B83" s="3" t="str">
        <f>"02213301029"</f>
        <v>02213301029</v>
      </c>
      <c r="C83" s="3" t="s">
        <v>185</v>
      </c>
      <c r="D83" s="3" t="s">
        <v>32</v>
      </c>
      <c r="E83" s="3" t="s">
        <v>186</v>
      </c>
      <c r="F83" s="3" t="s">
        <v>35</v>
      </c>
    </row>
    <row r="84" spans="1:9" hidden="1" x14ac:dyDescent="0.25">
      <c r="A84" s="2">
        <v>42490.541666666664</v>
      </c>
      <c r="B84" s="3" t="str">
        <f>"02114932029"</f>
        <v>02114932029</v>
      </c>
      <c r="C84" s="3" t="s">
        <v>187</v>
      </c>
      <c r="D84" s="3" t="s">
        <v>25</v>
      </c>
      <c r="E84" s="3" t="s">
        <v>117</v>
      </c>
      <c r="F84" s="3" t="s">
        <v>27</v>
      </c>
    </row>
    <row r="85" spans="1:9" hidden="1" x14ac:dyDescent="0.25">
      <c r="A85" s="2">
        <v>42490.541666666664</v>
      </c>
      <c r="B85" s="3" t="str">
        <f>"02212102015"</f>
        <v>02212102015</v>
      </c>
      <c r="C85" s="3" t="s">
        <v>46</v>
      </c>
      <c r="D85" s="3" t="s">
        <v>9</v>
      </c>
      <c r="E85" s="3" t="s">
        <v>188</v>
      </c>
      <c r="F85" s="3" t="s">
        <v>71</v>
      </c>
    </row>
    <row r="86" spans="1:9" hidden="1" x14ac:dyDescent="0.25">
      <c r="A86" s="2">
        <v>42491.541666666664</v>
      </c>
      <c r="B86" s="3" t="str">
        <f>"02111103008"</f>
        <v>02111103008</v>
      </c>
      <c r="C86" s="3" t="s">
        <v>179</v>
      </c>
      <c r="D86" s="3" t="s">
        <v>109</v>
      </c>
      <c r="E86" s="3" t="s">
        <v>189</v>
      </c>
      <c r="F86" s="3" t="s">
        <v>110</v>
      </c>
    </row>
    <row r="87" spans="1:9" hidden="1" x14ac:dyDescent="0.25">
      <c r="A87" s="2">
        <v>42491.625</v>
      </c>
      <c r="B87" s="3" t="str">
        <f>"02108102005"</f>
        <v>02108102005</v>
      </c>
      <c r="C87" s="3" t="s">
        <v>178</v>
      </c>
      <c r="D87" s="3" t="s">
        <v>120</v>
      </c>
      <c r="E87" s="3" t="s">
        <v>190</v>
      </c>
      <c r="F87" s="3" t="s">
        <v>140</v>
      </c>
    </row>
    <row r="88" spans="1:9" hidden="1" x14ac:dyDescent="0.25">
      <c r="A88" s="2">
        <v>42491.666666666664</v>
      </c>
      <c r="B88" s="3" t="str">
        <f>"02108102006"</f>
        <v>02108102006</v>
      </c>
      <c r="C88" s="3" t="s">
        <v>174</v>
      </c>
      <c r="D88" s="3" t="s">
        <v>124</v>
      </c>
      <c r="E88" s="3" t="s">
        <v>190</v>
      </c>
      <c r="F88" s="3" t="s">
        <v>140</v>
      </c>
    </row>
    <row r="89" spans="1:9" x14ac:dyDescent="0.25">
      <c r="A89" s="2">
        <v>42492.708333333336</v>
      </c>
      <c r="B89" s="26" t="s">
        <v>466</v>
      </c>
      <c r="C89" s="3" t="s">
        <v>160</v>
      </c>
      <c r="D89" s="3" t="s">
        <v>463</v>
      </c>
      <c r="E89" s="3" t="s">
        <v>122</v>
      </c>
      <c r="F89" s="9" t="s">
        <v>458</v>
      </c>
      <c r="G89" s="12" t="s">
        <v>489</v>
      </c>
      <c r="H89" s="12" t="s">
        <v>492</v>
      </c>
      <c r="I89" s="21"/>
    </row>
    <row r="90" spans="1:9" x14ac:dyDescent="0.25">
      <c r="A90" s="2">
        <v>42492.708333333336</v>
      </c>
      <c r="B90" s="26" t="str">
        <f>"02107114007"</f>
        <v>02107114007</v>
      </c>
      <c r="C90" s="3" t="s">
        <v>98</v>
      </c>
      <c r="D90" s="3" t="s">
        <v>191</v>
      </c>
      <c r="E90" s="3" t="s">
        <v>100</v>
      </c>
      <c r="F90" s="9" t="s">
        <v>164</v>
      </c>
      <c r="G90" s="16" t="s">
        <v>430</v>
      </c>
      <c r="H90" s="12" t="s">
        <v>434</v>
      </c>
      <c r="I90" s="21"/>
    </row>
    <row r="91" spans="1:9" hidden="1" x14ac:dyDescent="0.25">
      <c r="A91" s="2">
        <v>42492.708333333336</v>
      </c>
      <c r="B91" s="3" t="str">
        <f>"02207103006"</f>
        <v>02207103006</v>
      </c>
      <c r="C91" s="3" t="s">
        <v>192</v>
      </c>
      <c r="D91" s="3" t="s">
        <v>98</v>
      </c>
      <c r="E91" s="3" t="s">
        <v>193</v>
      </c>
      <c r="F91" s="3" t="s">
        <v>127</v>
      </c>
    </row>
    <row r="92" spans="1:9" hidden="1" x14ac:dyDescent="0.25">
      <c r="A92" s="2">
        <v>42492.770833333336</v>
      </c>
      <c r="B92" s="3" t="str">
        <f>"02211104008"</f>
        <v>02211104008</v>
      </c>
      <c r="C92" s="3" t="s">
        <v>185</v>
      </c>
      <c r="D92" s="3" t="s">
        <v>12</v>
      </c>
      <c r="E92" s="3" t="s">
        <v>194</v>
      </c>
      <c r="F92" s="3" t="s">
        <v>132</v>
      </c>
    </row>
    <row r="93" spans="1:9" x14ac:dyDescent="0.25">
      <c r="A93" s="2">
        <v>42492.791666666664</v>
      </c>
      <c r="B93" s="26" t="str">
        <f>"02111104007"</f>
        <v>02111104007</v>
      </c>
      <c r="C93" s="3" t="s">
        <v>9</v>
      </c>
      <c r="D93" s="3" t="s">
        <v>108</v>
      </c>
      <c r="E93" s="3" t="s">
        <v>51</v>
      </c>
      <c r="F93" s="9" t="s">
        <v>119</v>
      </c>
      <c r="G93" s="16" t="s">
        <v>399</v>
      </c>
      <c r="H93" s="17">
        <v>41385568</v>
      </c>
      <c r="I93" s="21"/>
    </row>
    <row r="94" spans="1:9" hidden="1" x14ac:dyDescent="0.25">
      <c r="A94" s="2">
        <v>42492.8125</v>
      </c>
      <c r="B94" s="3" t="str">
        <f>"02111109019"</f>
        <v>02111109019</v>
      </c>
      <c r="C94" s="3" t="s">
        <v>195</v>
      </c>
      <c r="D94" s="3" t="s">
        <v>62</v>
      </c>
      <c r="E94" s="3" t="s">
        <v>188</v>
      </c>
      <c r="F94" s="3" t="s">
        <v>64</v>
      </c>
    </row>
    <row r="95" spans="1:9" x14ac:dyDescent="0.25">
      <c r="A95" s="2">
        <v>42492.84375</v>
      </c>
      <c r="B95" s="26" t="str">
        <f>"02113701005"</f>
        <v>02113701005</v>
      </c>
      <c r="C95" s="3" t="s">
        <v>109</v>
      </c>
      <c r="D95" s="3" t="s">
        <v>196</v>
      </c>
      <c r="E95" s="3" t="s">
        <v>51</v>
      </c>
      <c r="F95" s="9" t="s">
        <v>131</v>
      </c>
      <c r="G95" s="16" t="s">
        <v>412</v>
      </c>
      <c r="H95" s="12" t="s">
        <v>413</v>
      </c>
      <c r="I95" s="21"/>
    </row>
    <row r="96" spans="1:9" x14ac:dyDescent="0.25">
      <c r="A96" s="2">
        <v>42493.708333333336</v>
      </c>
      <c r="B96" s="26" t="str">
        <f>"02108105008"</f>
        <v>02108105008</v>
      </c>
      <c r="C96" s="3" t="s">
        <v>112</v>
      </c>
      <c r="D96" s="3" t="s">
        <v>197</v>
      </c>
      <c r="E96" s="3" t="s">
        <v>122</v>
      </c>
      <c r="F96" s="9" t="s">
        <v>114</v>
      </c>
      <c r="G96" s="12" t="s">
        <v>456</v>
      </c>
      <c r="H96" s="12" t="s">
        <v>457</v>
      </c>
      <c r="I96" s="10"/>
    </row>
    <row r="97" spans="1:9" hidden="1" x14ac:dyDescent="0.25">
      <c r="A97" s="2">
        <v>42493.708333333336</v>
      </c>
      <c r="B97" s="3" t="str">
        <f>"02207101005"</f>
        <v>02207101005</v>
      </c>
      <c r="C97" s="3" t="s">
        <v>198</v>
      </c>
      <c r="D97" s="3" t="s">
        <v>120</v>
      </c>
      <c r="E97" s="3" t="s">
        <v>172</v>
      </c>
      <c r="F97" s="3" t="s">
        <v>123</v>
      </c>
    </row>
    <row r="98" spans="1:9" x14ac:dyDescent="0.25">
      <c r="A98" s="2">
        <v>42493.708333333336</v>
      </c>
      <c r="B98" s="26" t="str">
        <f>"02208102003"</f>
        <v>02208102003</v>
      </c>
      <c r="C98" s="3" t="s">
        <v>120</v>
      </c>
      <c r="D98" s="3" t="s">
        <v>199</v>
      </c>
      <c r="E98" s="3" t="s">
        <v>100</v>
      </c>
      <c r="F98" s="9" t="s">
        <v>200</v>
      </c>
      <c r="G98" s="12" t="s">
        <v>436</v>
      </c>
      <c r="H98" s="12" t="s">
        <v>437</v>
      </c>
      <c r="I98" s="33" t="s">
        <v>404</v>
      </c>
    </row>
    <row r="99" spans="1:9" hidden="1" x14ac:dyDescent="0.25">
      <c r="A99" s="2">
        <v>42493.75</v>
      </c>
      <c r="B99" s="3" t="str">
        <f>"02207101006"</f>
        <v>02207101006</v>
      </c>
      <c r="C99" s="3" t="s">
        <v>171</v>
      </c>
      <c r="D99" s="3" t="s">
        <v>124</v>
      </c>
      <c r="E99" s="3" t="s">
        <v>172</v>
      </c>
      <c r="F99" s="3" t="s">
        <v>123</v>
      </c>
    </row>
    <row r="100" spans="1:9" x14ac:dyDescent="0.25">
      <c r="A100" s="38">
        <v>42493.75</v>
      </c>
      <c r="B100" s="41" t="str">
        <f>"02208102004"</f>
        <v>02208102004</v>
      </c>
      <c r="C100" s="39" t="s">
        <v>124</v>
      </c>
      <c r="D100" s="39" t="s">
        <v>201</v>
      </c>
      <c r="E100" s="39" t="s">
        <v>100</v>
      </c>
      <c r="F100" s="40" t="s">
        <v>200</v>
      </c>
      <c r="G100" s="33" t="s">
        <v>404</v>
      </c>
      <c r="H100" s="33" t="s">
        <v>405</v>
      </c>
      <c r="I100" s="42" t="s">
        <v>496</v>
      </c>
    </row>
    <row r="101" spans="1:9" x14ac:dyDescent="0.25">
      <c r="A101" s="2">
        <v>42493.75</v>
      </c>
      <c r="B101" s="26" t="str">
        <f>"02108105007"</f>
        <v>02108105007</v>
      </c>
      <c r="C101" s="3" t="s">
        <v>98</v>
      </c>
      <c r="D101" s="3" t="s">
        <v>202</v>
      </c>
      <c r="E101" s="3" t="s">
        <v>122</v>
      </c>
      <c r="F101" s="9" t="s">
        <v>114</v>
      </c>
      <c r="G101" s="12" t="s">
        <v>493</v>
      </c>
      <c r="H101" s="12" t="s">
        <v>447</v>
      </c>
      <c r="I101" s="34" t="s">
        <v>400</v>
      </c>
    </row>
    <row r="102" spans="1:9" hidden="1" x14ac:dyDescent="0.25">
      <c r="A102" s="2">
        <v>42493.760416666664</v>
      </c>
      <c r="B102" s="3" t="str">
        <f>"02111111007"</f>
        <v>02111111007</v>
      </c>
      <c r="C102" s="3" t="s">
        <v>203</v>
      </c>
      <c r="D102" s="3" t="s">
        <v>25</v>
      </c>
      <c r="E102" s="3" t="s">
        <v>194</v>
      </c>
      <c r="F102" s="3" t="s">
        <v>167</v>
      </c>
    </row>
    <row r="103" spans="1:9" x14ac:dyDescent="0.25">
      <c r="A103" s="2">
        <v>42493.791666666664</v>
      </c>
      <c r="B103" s="26" t="str">
        <f>"02111101007"</f>
        <v>02111101007</v>
      </c>
      <c r="C103" s="3" t="s">
        <v>12</v>
      </c>
      <c r="D103" s="3" t="s">
        <v>105</v>
      </c>
      <c r="E103" s="3" t="s">
        <v>51</v>
      </c>
      <c r="F103" s="9" t="s">
        <v>134</v>
      </c>
      <c r="G103" s="16" t="s">
        <v>400</v>
      </c>
      <c r="H103" s="12" t="s">
        <v>401</v>
      </c>
      <c r="I103" s="16"/>
    </row>
    <row r="104" spans="1:9" hidden="1" x14ac:dyDescent="0.25">
      <c r="A104" s="2">
        <v>42493.791666666664</v>
      </c>
      <c r="B104" s="3" t="str">
        <f>"02112105011"</f>
        <v>02112105011</v>
      </c>
      <c r="C104" s="3" t="s">
        <v>204</v>
      </c>
      <c r="D104" s="3" t="s">
        <v>12</v>
      </c>
      <c r="E104" s="3" t="s">
        <v>133</v>
      </c>
      <c r="F104" s="3" t="s">
        <v>79</v>
      </c>
    </row>
    <row r="105" spans="1:9" x14ac:dyDescent="0.25">
      <c r="A105" s="2">
        <v>42493.84375</v>
      </c>
      <c r="B105" s="26" t="str">
        <f>"02212102019"</f>
        <v>02212102019</v>
      </c>
      <c r="C105" s="3" t="s">
        <v>9</v>
      </c>
      <c r="D105" s="3" t="s">
        <v>108</v>
      </c>
      <c r="E105" s="3" t="s">
        <v>51</v>
      </c>
      <c r="F105" s="9" t="s">
        <v>71</v>
      </c>
      <c r="G105" s="16" t="s">
        <v>397</v>
      </c>
      <c r="H105" s="12" t="s">
        <v>398</v>
      </c>
      <c r="I105" s="10"/>
    </row>
    <row r="106" spans="1:9" hidden="1" x14ac:dyDescent="0.25">
      <c r="A106" s="2">
        <v>42493.84375</v>
      </c>
      <c r="B106" s="3" t="str">
        <f>"02220702008"</f>
        <v>02220702008</v>
      </c>
      <c r="C106" s="3" t="s">
        <v>20</v>
      </c>
      <c r="D106" s="3" t="s">
        <v>12</v>
      </c>
      <c r="E106" s="3" t="s">
        <v>205</v>
      </c>
      <c r="F106" s="3" t="s">
        <v>138</v>
      </c>
    </row>
    <row r="107" spans="1:9" hidden="1" x14ac:dyDescent="0.25">
      <c r="A107" s="2">
        <v>42493.854166666664</v>
      </c>
      <c r="B107" s="3" t="str">
        <f>"02120601030"</f>
        <v>02120601030</v>
      </c>
      <c r="C107" s="3" t="s">
        <v>206</v>
      </c>
      <c r="D107" s="3" t="s">
        <v>9</v>
      </c>
      <c r="E107" s="3" t="s">
        <v>49</v>
      </c>
      <c r="F107" s="3" t="s">
        <v>31</v>
      </c>
    </row>
    <row r="108" spans="1:9" x14ac:dyDescent="0.25">
      <c r="A108" s="2">
        <v>42494.708333333336</v>
      </c>
      <c r="B108" s="26" t="str">
        <f>"02107101007"</f>
        <v>02107101007</v>
      </c>
      <c r="C108" s="3" t="s">
        <v>120</v>
      </c>
      <c r="D108" s="3" t="s">
        <v>207</v>
      </c>
      <c r="E108" s="3" t="s">
        <v>122</v>
      </c>
      <c r="F108" s="9" t="s">
        <v>153</v>
      </c>
      <c r="G108" s="16" t="s">
        <v>416</v>
      </c>
      <c r="H108" s="12" t="s">
        <v>417</v>
      </c>
      <c r="I108" s="10"/>
    </row>
    <row r="109" spans="1:9" hidden="1" x14ac:dyDescent="0.25">
      <c r="A109" s="2">
        <v>42494.708333333336</v>
      </c>
      <c r="B109" s="3" t="str">
        <f>"02108108006"</f>
        <v>02108108006</v>
      </c>
      <c r="C109" s="3" t="s">
        <v>208</v>
      </c>
      <c r="D109" s="3" t="s">
        <v>148</v>
      </c>
      <c r="E109" s="3" t="s">
        <v>209</v>
      </c>
      <c r="F109" s="3" t="s">
        <v>150</v>
      </c>
    </row>
    <row r="110" spans="1:9" x14ac:dyDescent="0.25">
      <c r="A110" s="2">
        <v>42494.708333333336</v>
      </c>
      <c r="B110" s="26" t="str">
        <f>"02109106006"</f>
        <v>02109106006</v>
      </c>
      <c r="C110" s="3" t="s">
        <v>124</v>
      </c>
      <c r="D110" s="3" t="s">
        <v>174</v>
      </c>
      <c r="E110" s="3" t="s">
        <v>100</v>
      </c>
      <c r="F110" s="9" t="s">
        <v>173</v>
      </c>
      <c r="G110" s="12" t="s">
        <v>490</v>
      </c>
      <c r="H110" s="12" t="s">
        <v>491</v>
      </c>
      <c r="I110" s="34" t="s">
        <v>395</v>
      </c>
    </row>
    <row r="111" spans="1:9" hidden="1" x14ac:dyDescent="0.25">
      <c r="A111" s="2">
        <v>42494.729166666664</v>
      </c>
      <c r="B111" s="3" t="str">
        <f>"02114941006"</f>
        <v>02114941006</v>
      </c>
      <c r="C111" s="3" t="s">
        <v>182</v>
      </c>
      <c r="D111" s="3" t="s">
        <v>62</v>
      </c>
      <c r="E111" s="3" t="s">
        <v>97</v>
      </c>
      <c r="F111" s="3" t="s">
        <v>129</v>
      </c>
    </row>
    <row r="112" spans="1:9" hidden="1" x14ac:dyDescent="0.25">
      <c r="A112" s="2">
        <v>42494.75</v>
      </c>
      <c r="B112" s="3" t="str">
        <f>"02209102006"</f>
        <v>02209102006</v>
      </c>
      <c r="C112" s="3" t="s">
        <v>210</v>
      </c>
      <c r="D112" s="3" t="s">
        <v>124</v>
      </c>
      <c r="E112" s="3" t="s">
        <v>211</v>
      </c>
      <c r="F112" s="3" t="s">
        <v>158</v>
      </c>
    </row>
    <row r="113" spans="1:9" x14ac:dyDescent="0.25">
      <c r="A113" s="2">
        <v>42494.75</v>
      </c>
      <c r="B113" s="26" t="str">
        <f>"02109106005"</f>
        <v>02109106005</v>
      </c>
      <c r="C113" s="3" t="s">
        <v>120</v>
      </c>
      <c r="D113" s="3" t="s">
        <v>178</v>
      </c>
      <c r="E113" s="3" t="s">
        <v>100</v>
      </c>
      <c r="F113" s="9" t="s">
        <v>173</v>
      </c>
      <c r="G113" s="12" t="s">
        <v>484</v>
      </c>
      <c r="H113" s="35">
        <v>95065187</v>
      </c>
      <c r="I113" s="34" t="s">
        <v>395</v>
      </c>
    </row>
    <row r="114" spans="1:9" x14ac:dyDescent="0.25">
      <c r="A114" s="2">
        <v>42494.75</v>
      </c>
      <c r="B114" s="26" t="str">
        <f>"02107101008"</f>
        <v>02107101008</v>
      </c>
      <c r="C114" s="3" t="s">
        <v>124</v>
      </c>
      <c r="D114" s="3" t="s">
        <v>212</v>
      </c>
      <c r="E114" s="3" t="s">
        <v>122</v>
      </c>
      <c r="F114" s="9" t="s">
        <v>153</v>
      </c>
      <c r="G114" s="12" t="s">
        <v>438</v>
      </c>
      <c r="H114" s="12" t="s">
        <v>439</v>
      </c>
      <c r="I114" s="34" t="s">
        <v>410</v>
      </c>
    </row>
    <row r="115" spans="1:9" hidden="1" x14ac:dyDescent="0.25">
      <c r="A115" s="2">
        <v>42494.75</v>
      </c>
      <c r="B115" s="3" t="str">
        <f>"02108108005"</f>
        <v>02108108005</v>
      </c>
      <c r="C115" s="3" t="s">
        <v>213</v>
      </c>
      <c r="D115" s="3" t="s">
        <v>160</v>
      </c>
      <c r="E115" s="3" t="s">
        <v>209</v>
      </c>
      <c r="F115" s="3" t="s">
        <v>150</v>
      </c>
    </row>
    <row r="116" spans="1:9" hidden="1" x14ac:dyDescent="0.25">
      <c r="A116" s="2">
        <v>42494.75</v>
      </c>
      <c r="B116" s="3" t="str">
        <f>"02110112008"</f>
        <v>02110112008</v>
      </c>
      <c r="C116" s="3" t="s">
        <v>214</v>
      </c>
      <c r="D116" s="3" t="s">
        <v>120</v>
      </c>
      <c r="E116" s="3" t="s">
        <v>215</v>
      </c>
      <c r="F116" s="3" t="s">
        <v>175</v>
      </c>
    </row>
    <row r="117" spans="1:9" hidden="1" x14ac:dyDescent="0.25">
      <c r="A117" s="2">
        <v>42494.760416666664</v>
      </c>
      <c r="B117" s="3" t="str">
        <f>"02112107021"</f>
        <v>02112107021</v>
      </c>
      <c r="C117" s="3" t="s">
        <v>13</v>
      </c>
      <c r="D117" s="3" t="s">
        <v>9</v>
      </c>
      <c r="E117" s="3" t="s">
        <v>216</v>
      </c>
      <c r="F117" s="3" t="s">
        <v>69</v>
      </c>
    </row>
    <row r="118" spans="1:9" hidden="1" x14ac:dyDescent="0.25">
      <c r="A118" s="2">
        <v>42494.791666666664</v>
      </c>
      <c r="B118" s="3" t="str">
        <f>"02110112007"</f>
        <v>02110112007</v>
      </c>
      <c r="C118" s="3" t="s">
        <v>217</v>
      </c>
      <c r="D118" s="3" t="s">
        <v>124</v>
      </c>
      <c r="E118" s="3" t="s">
        <v>215</v>
      </c>
      <c r="F118" s="3" t="s">
        <v>175</v>
      </c>
    </row>
    <row r="119" spans="1:9" hidden="1" x14ac:dyDescent="0.25">
      <c r="A119" s="2">
        <v>42494.791666666664</v>
      </c>
      <c r="B119" s="3" t="str">
        <f>"02209102005"</f>
        <v>02209102005</v>
      </c>
      <c r="C119" s="3" t="s">
        <v>218</v>
      </c>
      <c r="D119" s="3" t="s">
        <v>120</v>
      </c>
      <c r="E119" s="3" t="s">
        <v>211</v>
      </c>
      <c r="F119" s="3" t="s">
        <v>158</v>
      </c>
    </row>
    <row r="120" spans="1:9" x14ac:dyDescent="0.25">
      <c r="A120" s="2">
        <v>42494.791666666664</v>
      </c>
      <c r="B120" s="26" t="str">
        <f>"02212101018"</f>
        <v>02212101018</v>
      </c>
      <c r="C120" s="3" t="s">
        <v>12</v>
      </c>
      <c r="D120" s="3" t="s">
        <v>73</v>
      </c>
      <c r="E120" s="3" t="s">
        <v>51</v>
      </c>
      <c r="F120" s="9" t="s">
        <v>96</v>
      </c>
      <c r="G120" s="16" t="s">
        <v>410</v>
      </c>
      <c r="H120" s="12" t="s">
        <v>411</v>
      </c>
      <c r="I120" s="10"/>
    </row>
    <row r="121" spans="1:9" hidden="1" x14ac:dyDescent="0.25">
      <c r="A121" s="2">
        <v>42494.84375</v>
      </c>
      <c r="B121" s="3" t="str">
        <f>"02113921018"</f>
        <v>02113921018</v>
      </c>
      <c r="C121" s="3" t="s">
        <v>165</v>
      </c>
      <c r="D121" s="3" t="s">
        <v>25</v>
      </c>
      <c r="E121" s="3" t="s">
        <v>66</v>
      </c>
      <c r="F121" s="3" t="s">
        <v>56</v>
      </c>
    </row>
    <row r="122" spans="1:9" x14ac:dyDescent="0.25">
      <c r="A122" s="2">
        <v>42494.854166666664</v>
      </c>
      <c r="B122" s="26" t="s">
        <v>465</v>
      </c>
      <c r="C122" s="3" t="s">
        <v>25</v>
      </c>
      <c r="D122" s="3" t="s">
        <v>464</v>
      </c>
      <c r="E122" s="3" t="s">
        <v>51</v>
      </c>
      <c r="F122" s="9" t="s">
        <v>220</v>
      </c>
      <c r="G122" s="12" t="s">
        <v>494</v>
      </c>
      <c r="H122" s="25"/>
      <c r="I122" s="10"/>
    </row>
    <row r="123" spans="1:9" x14ac:dyDescent="0.25">
      <c r="A123" s="2">
        <v>42495.541666666664</v>
      </c>
      <c r="B123" s="26" t="str">
        <f>"02110115006"</f>
        <v>02110115006</v>
      </c>
      <c r="C123" s="3" t="s">
        <v>98</v>
      </c>
      <c r="D123" s="3" t="s">
        <v>221</v>
      </c>
      <c r="E123" s="3" t="s">
        <v>100</v>
      </c>
      <c r="F123" s="9" t="s">
        <v>156</v>
      </c>
      <c r="G123" s="16" t="s">
        <v>414</v>
      </c>
      <c r="H123" s="12" t="s">
        <v>415</v>
      </c>
      <c r="I123" s="10"/>
    </row>
    <row r="124" spans="1:9" x14ac:dyDescent="0.25">
      <c r="A124" s="2">
        <v>42495.75</v>
      </c>
      <c r="B124" s="3" t="str">
        <f>"02109105007"</f>
        <v>02109105007</v>
      </c>
      <c r="C124" s="3" t="s">
        <v>98</v>
      </c>
      <c r="D124" s="3" t="s">
        <v>125</v>
      </c>
      <c r="E124" s="3" t="s">
        <v>100</v>
      </c>
      <c r="F124" s="9" t="s">
        <v>170</v>
      </c>
      <c r="G124" s="16" t="s">
        <v>440</v>
      </c>
      <c r="H124" s="12" t="s">
        <v>441</v>
      </c>
      <c r="I124" s="10"/>
    </row>
    <row r="125" spans="1:9" x14ac:dyDescent="0.25">
      <c r="A125" s="2">
        <v>42495.791666666664</v>
      </c>
      <c r="B125" s="3" t="str">
        <f>"02109105008"</f>
        <v>02109105008</v>
      </c>
      <c r="C125" s="3" t="s">
        <v>112</v>
      </c>
      <c r="D125" s="3" t="s">
        <v>121</v>
      </c>
      <c r="E125" s="3" t="s">
        <v>100</v>
      </c>
      <c r="F125" s="9" t="s">
        <v>170</v>
      </c>
      <c r="G125" s="16" t="s">
        <v>393</v>
      </c>
      <c r="H125" s="12" t="s">
        <v>394</v>
      </c>
      <c r="I125" s="10"/>
    </row>
    <row r="126" spans="1:9" hidden="1" x14ac:dyDescent="0.25">
      <c r="A126" s="2">
        <v>42495.791666666664</v>
      </c>
      <c r="B126" s="3" t="str">
        <f>"02110114008"</f>
        <v>02110114008</v>
      </c>
      <c r="C126" s="3" t="s">
        <v>139</v>
      </c>
      <c r="D126" s="3" t="s">
        <v>112</v>
      </c>
      <c r="E126" s="3" t="s">
        <v>152</v>
      </c>
      <c r="F126" s="3" t="s">
        <v>143</v>
      </c>
    </row>
    <row r="127" spans="1:9" hidden="1" x14ac:dyDescent="0.25">
      <c r="A127" s="2">
        <v>42495.791666666664</v>
      </c>
      <c r="B127" s="3" t="str">
        <f>"02210102005"</f>
        <v>02210102005</v>
      </c>
      <c r="C127" s="3" t="s">
        <v>198</v>
      </c>
      <c r="D127" s="3" t="s">
        <v>120</v>
      </c>
      <c r="E127" s="3" t="s">
        <v>172</v>
      </c>
      <c r="F127" s="3" t="s">
        <v>181</v>
      </c>
    </row>
    <row r="128" spans="1:9" hidden="1" x14ac:dyDescent="0.25">
      <c r="A128" s="2">
        <v>42495.833333333336</v>
      </c>
      <c r="B128" s="3" t="str">
        <f>"02210102006"</f>
        <v>02210102006</v>
      </c>
      <c r="C128" s="3" t="s">
        <v>171</v>
      </c>
      <c r="D128" s="3" t="s">
        <v>124</v>
      </c>
      <c r="E128" s="3" t="s">
        <v>172</v>
      </c>
      <c r="F128" s="3" t="s">
        <v>181</v>
      </c>
    </row>
    <row r="129" spans="1:9" x14ac:dyDescent="0.25">
      <c r="A129" s="2">
        <v>42496.791666666664</v>
      </c>
      <c r="B129" s="3" t="str">
        <f>"02111108019"</f>
        <v>02111108019</v>
      </c>
      <c r="C129" s="3" t="s">
        <v>50</v>
      </c>
      <c r="D129" s="3" t="s">
        <v>223</v>
      </c>
      <c r="E129" s="3" t="s">
        <v>51</v>
      </c>
      <c r="F129" s="9" t="s">
        <v>52</v>
      </c>
      <c r="G129" s="16" t="s">
        <v>395</v>
      </c>
      <c r="H129" s="12" t="s">
        <v>396</v>
      </c>
      <c r="I129" s="10"/>
    </row>
    <row r="130" spans="1:9" hidden="1" x14ac:dyDescent="0.25">
      <c r="A130" s="2">
        <v>42496.805555555555</v>
      </c>
      <c r="B130" s="3" t="str">
        <f>"02139701008"</f>
        <v>02139701008</v>
      </c>
      <c r="C130" s="3" t="s">
        <v>95</v>
      </c>
      <c r="D130" s="3" t="s">
        <v>12</v>
      </c>
      <c r="E130" s="3" t="s">
        <v>144</v>
      </c>
      <c r="F130" s="3" t="s">
        <v>92</v>
      </c>
    </row>
    <row r="131" spans="1:9" hidden="1" x14ac:dyDescent="0.25">
      <c r="A131" s="2">
        <v>42496.833333333336</v>
      </c>
      <c r="B131" s="3" t="str">
        <f>"02214101034"</f>
        <v>02214101034</v>
      </c>
      <c r="C131" s="3" t="s">
        <v>55</v>
      </c>
      <c r="D131" s="3" t="s">
        <v>12</v>
      </c>
      <c r="E131" s="3" t="s">
        <v>117</v>
      </c>
      <c r="F131" s="3" t="s">
        <v>41</v>
      </c>
    </row>
    <row r="132" spans="1:9" hidden="1" x14ac:dyDescent="0.25">
      <c r="A132" s="2">
        <v>42497.59375</v>
      </c>
      <c r="B132" s="3" t="str">
        <f>"02113932007"</f>
        <v>02113932007</v>
      </c>
      <c r="C132" s="3" t="s">
        <v>77</v>
      </c>
      <c r="D132" s="3" t="s">
        <v>62</v>
      </c>
      <c r="E132" s="3" t="s">
        <v>224</v>
      </c>
      <c r="F132" s="3" t="s">
        <v>183</v>
      </c>
    </row>
    <row r="133" spans="1:9" hidden="1" x14ac:dyDescent="0.25">
      <c r="A133" s="2">
        <v>42497.625</v>
      </c>
      <c r="B133" s="3" t="str">
        <f>"02119101039"</f>
        <v>02119101039</v>
      </c>
      <c r="C133" s="3" t="s">
        <v>137</v>
      </c>
      <c r="D133" s="3" t="s">
        <v>12</v>
      </c>
      <c r="E133" s="3" t="s">
        <v>225</v>
      </c>
      <c r="F133" s="3" t="s">
        <v>24</v>
      </c>
    </row>
    <row r="134" spans="1:9" x14ac:dyDescent="0.25">
      <c r="A134" s="2">
        <v>42498.541666666664</v>
      </c>
      <c r="B134" s="3" t="str">
        <f>"02111103012"</f>
        <v>02111103012</v>
      </c>
      <c r="C134" s="3" t="s">
        <v>109</v>
      </c>
      <c r="D134" s="3" t="s">
        <v>226</v>
      </c>
      <c r="E134" s="3" t="s">
        <v>51</v>
      </c>
      <c r="F134" s="9" t="s">
        <v>110</v>
      </c>
      <c r="G134" s="16" t="s">
        <v>399</v>
      </c>
      <c r="H134" s="17" t="s">
        <v>433</v>
      </c>
      <c r="I134" s="10"/>
    </row>
    <row r="135" spans="1:9" hidden="1" x14ac:dyDescent="0.25">
      <c r="A135" s="2">
        <v>42498.541666666664</v>
      </c>
      <c r="B135" s="3" t="str">
        <f>"02209105008"</f>
        <v>02209105008</v>
      </c>
      <c r="C135" s="3" t="s">
        <v>227</v>
      </c>
      <c r="D135" s="3" t="s">
        <v>98</v>
      </c>
      <c r="E135" s="3" t="s">
        <v>228</v>
      </c>
      <c r="F135" s="3" t="s">
        <v>101</v>
      </c>
    </row>
    <row r="136" spans="1:9" hidden="1" x14ac:dyDescent="0.25">
      <c r="A136" s="2">
        <v>42498.625</v>
      </c>
      <c r="B136" s="3" t="str">
        <f>"02116101036"</f>
        <v>02116101036</v>
      </c>
      <c r="C136" s="3" t="s">
        <v>179</v>
      </c>
      <c r="D136" s="3" t="s">
        <v>12</v>
      </c>
      <c r="E136" s="3" t="s">
        <v>229</v>
      </c>
      <c r="F136" s="3" t="s">
        <v>16</v>
      </c>
    </row>
    <row r="137" spans="1:9" hidden="1" x14ac:dyDescent="0.25">
      <c r="A137" s="2">
        <v>42498.65625</v>
      </c>
      <c r="B137" s="3" t="str">
        <f>"02111104011"</f>
        <v>02111104011</v>
      </c>
      <c r="C137" s="3" t="s">
        <v>102</v>
      </c>
      <c r="D137" s="3" t="s">
        <v>9</v>
      </c>
      <c r="E137" s="3" t="s">
        <v>104</v>
      </c>
      <c r="F137" s="3" t="s">
        <v>119</v>
      </c>
    </row>
    <row r="138" spans="1:9" x14ac:dyDescent="0.25">
      <c r="A138" s="2">
        <v>42499.708333333336</v>
      </c>
      <c r="B138" s="3" t="str">
        <f>"02207103011"</f>
        <v>02207103011</v>
      </c>
      <c r="C138" s="3" t="s">
        <v>98</v>
      </c>
      <c r="D138" s="3" t="s">
        <v>210</v>
      </c>
      <c r="E138" s="3" t="s">
        <v>100</v>
      </c>
      <c r="F138" s="9" t="s">
        <v>127</v>
      </c>
      <c r="G138" s="16" t="s">
        <v>404</v>
      </c>
      <c r="H138" s="12" t="s">
        <v>405</v>
      </c>
      <c r="I138" s="10"/>
    </row>
    <row r="139" spans="1:9" x14ac:dyDescent="0.25">
      <c r="A139" s="2">
        <v>42499.75</v>
      </c>
      <c r="B139" s="3" t="str">
        <f>"02107101011"</f>
        <v>02107101011</v>
      </c>
      <c r="C139" s="3" t="s">
        <v>120</v>
      </c>
      <c r="D139" s="3" t="s">
        <v>230</v>
      </c>
      <c r="E139" s="3" t="s">
        <v>100</v>
      </c>
      <c r="F139" s="9" t="s">
        <v>153</v>
      </c>
      <c r="G139" s="16" t="s">
        <v>495</v>
      </c>
      <c r="H139" s="12" t="s">
        <v>426</v>
      </c>
      <c r="I139" s="10"/>
    </row>
    <row r="140" spans="1:9" hidden="1" x14ac:dyDescent="0.25">
      <c r="A140" s="2">
        <v>42499.770833333336</v>
      </c>
      <c r="B140" s="3" t="str">
        <f>"02114201037"</f>
        <v>02114201037</v>
      </c>
      <c r="C140" s="3" t="s">
        <v>231</v>
      </c>
      <c r="D140" s="3" t="s">
        <v>9</v>
      </c>
      <c r="E140" s="3" t="s">
        <v>232</v>
      </c>
      <c r="F140" s="3" t="s">
        <v>22</v>
      </c>
    </row>
    <row r="141" spans="1:9" x14ac:dyDescent="0.25">
      <c r="A141" s="2">
        <v>42499.791666666664</v>
      </c>
      <c r="B141" s="3" t="str">
        <f>"02107101012"</f>
        <v>02107101012</v>
      </c>
      <c r="C141" s="3" t="s">
        <v>124</v>
      </c>
      <c r="D141" s="3" t="s">
        <v>233</v>
      </c>
      <c r="E141" s="3" t="s">
        <v>100</v>
      </c>
      <c r="F141" s="9" t="s">
        <v>153</v>
      </c>
      <c r="G141" s="12" t="s">
        <v>427</v>
      </c>
      <c r="H141" s="12" t="s">
        <v>428</v>
      </c>
      <c r="I141" s="34" t="s">
        <v>406</v>
      </c>
    </row>
    <row r="142" spans="1:9" hidden="1" x14ac:dyDescent="0.25">
      <c r="A142" s="2">
        <v>42499.84375</v>
      </c>
      <c r="B142" s="3" t="str">
        <f>"02120401040"</f>
        <v>02120401040</v>
      </c>
      <c r="C142" s="3" t="s">
        <v>39</v>
      </c>
      <c r="D142" s="3" t="s">
        <v>12</v>
      </c>
      <c r="E142" s="3" t="s">
        <v>40</v>
      </c>
      <c r="F142" s="3" t="s">
        <v>14</v>
      </c>
    </row>
    <row r="143" spans="1:9" x14ac:dyDescent="0.25">
      <c r="A143" s="2">
        <v>42499.84375</v>
      </c>
      <c r="B143" s="3" t="str">
        <f>"02112107027"</f>
        <v>02112107027</v>
      </c>
      <c r="C143" s="3" t="s">
        <v>9</v>
      </c>
      <c r="D143" s="3" t="s">
        <v>234</v>
      </c>
      <c r="E143" s="3" t="s">
        <v>51</v>
      </c>
      <c r="F143" s="9" t="s">
        <v>69</v>
      </c>
      <c r="G143" s="16" t="s">
        <v>406</v>
      </c>
      <c r="H143" s="12" t="s">
        <v>407</v>
      </c>
      <c r="I143" s="10"/>
    </row>
    <row r="144" spans="1:9" x14ac:dyDescent="0.25">
      <c r="A144" s="2">
        <v>42500.708333333336</v>
      </c>
      <c r="B144" s="3" t="str">
        <f>"02108105012"</f>
        <v>02108105012</v>
      </c>
      <c r="C144" s="3" t="s">
        <v>112</v>
      </c>
      <c r="D144" s="3" t="s">
        <v>235</v>
      </c>
      <c r="E144" s="3" t="s">
        <v>122</v>
      </c>
      <c r="F144" s="9" t="s">
        <v>114</v>
      </c>
      <c r="G144" s="16" t="s">
        <v>442</v>
      </c>
      <c r="H144" s="12" t="s">
        <v>444</v>
      </c>
      <c r="I144" s="10"/>
    </row>
    <row r="145" spans="1:9" hidden="1" x14ac:dyDescent="0.25">
      <c r="A145" s="2">
        <v>42500.708333333336</v>
      </c>
      <c r="B145" s="3" t="str">
        <f>"02208102005"</f>
        <v>02208102005</v>
      </c>
      <c r="C145" s="3" t="s">
        <v>236</v>
      </c>
      <c r="D145" s="3" t="s">
        <v>120</v>
      </c>
      <c r="E145" s="3" t="s">
        <v>237</v>
      </c>
      <c r="F145" s="3" t="s">
        <v>200</v>
      </c>
    </row>
    <row r="146" spans="1:9" hidden="1" x14ac:dyDescent="0.25">
      <c r="A146" s="2">
        <v>42500.708333333336</v>
      </c>
      <c r="B146" s="3" t="str">
        <f>"02207101010"</f>
        <v>02207101010</v>
      </c>
      <c r="C146" s="3" t="s">
        <v>238</v>
      </c>
      <c r="D146" s="3" t="s">
        <v>124</v>
      </c>
      <c r="E146" s="3" t="s">
        <v>239</v>
      </c>
      <c r="F146" s="3" t="s">
        <v>123</v>
      </c>
    </row>
    <row r="147" spans="1:9" hidden="1" x14ac:dyDescent="0.25">
      <c r="A147" s="2">
        <v>42500.75</v>
      </c>
      <c r="B147" s="3" t="str">
        <f>"02208102006"</f>
        <v>02208102006</v>
      </c>
      <c r="C147" s="3" t="s">
        <v>240</v>
      </c>
      <c r="D147" s="3" t="s">
        <v>124</v>
      </c>
      <c r="E147" s="3" t="s">
        <v>237</v>
      </c>
      <c r="F147" s="3" t="s">
        <v>200</v>
      </c>
    </row>
    <row r="148" spans="1:9" hidden="1" x14ac:dyDescent="0.25">
      <c r="A148" s="2">
        <v>42500.75</v>
      </c>
      <c r="B148" s="3" t="str">
        <f>"02207101009"</f>
        <v>02207101009</v>
      </c>
      <c r="C148" s="3" t="s">
        <v>241</v>
      </c>
      <c r="D148" s="3" t="s">
        <v>120</v>
      </c>
      <c r="E148" s="3" t="s">
        <v>239</v>
      </c>
      <c r="F148" s="3" t="s">
        <v>123</v>
      </c>
    </row>
    <row r="149" spans="1:9" x14ac:dyDescent="0.25">
      <c r="A149" s="2">
        <v>42500.75</v>
      </c>
      <c r="B149" s="3" t="str">
        <f>"02108105011"</f>
        <v>02108105011</v>
      </c>
      <c r="C149" s="3" t="s">
        <v>98</v>
      </c>
      <c r="D149" s="3" t="s">
        <v>154</v>
      </c>
      <c r="E149" s="3" t="s">
        <v>122</v>
      </c>
      <c r="F149" s="9" t="s">
        <v>114</v>
      </c>
      <c r="G149" s="16" t="s">
        <v>418</v>
      </c>
      <c r="H149" s="12">
        <v>92096292</v>
      </c>
      <c r="I149" s="10"/>
    </row>
    <row r="150" spans="1:9" hidden="1" x14ac:dyDescent="0.25">
      <c r="A150" s="2">
        <v>42500.791666666664</v>
      </c>
      <c r="B150" s="3" t="str">
        <f>"02107114011"</f>
        <v>02107114011</v>
      </c>
      <c r="C150" s="3" t="s">
        <v>242</v>
      </c>
      <c r="D150" s="3" t="s">
        <v>98</v>
      </c>
      <c r="E150" s="3" t="s">
        <v>243</v>
      </c>
      <c r="F150" s="3" t="s">
        <v>164</v>
      </c>
    </row>
    <row r="151" spans="1:9" hidden="1" x14ac:dyDescent="0.25">
      <c r="A151" s="2">
        <v>42500.791666666664</v>
      </c>
      <c r="B151" s="3" t="str">
        <f>"02113912011"</f>
        <v>02113912011</v>
      </c>
      <c r="C151" s="3" t="s">
        <v>95</v>
      </c>
      <c r="D151" s="3" t="s">
        <v>12</v>
      </c>
      <c r="E151" s="3" t="s">
        <v>97</v>
      </c>
      <c r="F151" s="3" t="s">
        <v>85</v>
      </c>
    </row>
    <row r="152" spans="1:9" x14ac:dyDescent="0.25">
      <c r="A152" s="2">
        <v>42500.791666666664</v>
      </c>
      <c r="B152" s="3" t="str">
        <f>"02110114012"</f>
        <v>02110114012</v>
      </c>
      <c r="C152" s="3" t="s">
        <v>112</v>
      </c>
      <c r="D152" s="3" t="s">
        <v>244</v>
      </c>
      <c r="E152" s="3" t="s">
        <v>100</v>
      </c>
      <c r="F152" s="9" t="s">
        <v>143</v>
      </c>
      <c r="G152" s="16" t="s">
        <v>414</v>
      </c>
      <c r="H152" s="12" t="s">
        <v>415</v>
      </c>
      <c r="I152" s="10"/>
    </row>
    <row r="153" spans="1:9" hidden="1" x14ac:dyDescent="0.25">
      <c r="A153" s="2">
        <v>42500.791666666664</v>
      </c>
      <c r="B153" s="3" t="str">
        <f>"02212102024"</f>
        <v>02212102024</v>
      </c>
      <c r="C153" s="3" t="s">
        <v>48</v>
      </c>
      <c r="D153" s="3" t="s">
        <v>9</v>
      </c>
      <c r="E153" s="3" t="s">
        <v>245</v>
      </c>
      <c r="F153" s="3" t="s">
        <v>71</v>
      </c>
    </row>
    <row r="154" spans="1:9" hidden="1" x14ac:dyDescent="0.25">
      <c r="A154" s="2">
        <v>42500.84375</v>
      </c>
      <c r="B154" s="3" t="str">
        <f>"02139701012"</f>
        <v>02139701012</v>
      </c>
      <c r="C154" s="3" t="s">
        <v>48</v>
      </c>
      <c r="D154" s="3" t="s">
        <v>12</v>
      </c>
      <c r="E154" s="3" t="s">
        <v>245</v>
      </c>
      <c r="F154" s="3" t="s">
        <v>92</v>
      </c>
    </row>
    <row r="155" spans="1:9" x14ac:dyDescent="0.25">
      <c r="A155" s="2">
        <v>42500.84375</v>
      </c>
      <c r="B155" s="3" t="str">
        <f>"02112105015"</f>
        <v>02112105015</v>
      </c>
      <c r="C155" s="3" t="s">
        <v>12</v>
      </c>
      <c r="D155" s="3" t="s">
        <v>246</v>
      </c>
      <c r="E155" s="3" t="s">
        <v>51</v>
      </c>
      <c r="F155" s="9" t="s">
        <v>79</v>
      </c>
      <c r="G155" s="16" t="s">
        <v>400</v>
      </c>
      <c r="H155" s="12" t="s">
        <v>401</v>
      </c>
      <c r="I155" s="10"/>
    </row>
    <row r="156" spans="1:9" x14ac:dyDescent="0.25">
      <c r="A156" s="2">
        <v>42501.75</v>
      </c>
      <c r="B156" s="3" t="str">
        <f>"02110112009"</f>
        <v>02110112009</v>
      </c>
      <c r="C156" s="3" t="s">
        <v>120</v>
      </c>
      <c r="D156" s="3" t="s">
        <v>247</v>
      </c>
      <c r="E156" s="3" t="s">
        <v>100</v>
      </c>
      <c r="F156" s="9" t="s">
        <v>175</v>
      </c>
      <c r="G156" s="12" t="s">
        <v>450</v>
      </c>
      <c r="H156" s="12" t="s">
        <v>451</v>
      </c>
      <c r="I156" s="10"/>
    </row>
    <row r="157" spans="1:9" hidden="1" x14ac:dyDescent="0.25">
      <c r="A157" s="2">
        <v>42501.75</v>
      </c>
      <c r="B157" s="3" t="str">
        <f>"02209102010"</f>
        <v>02209102010</v>
      </c>
      <c r="C157" s="3" t="s">
        <v>248</v>
      </c>
      <c r="D157" s="3" t="s">
        <v>124</v>
      </c>
      <c r="E157" s="3" t="s">
        <v>249</v>
      </c>
      <c r="F157" s="3" t="s">
        <v>158</v>
      </c>
    </row>
    <row r="158" spans="1:9" hidden="1" x14ac:dyDescent="0.25">
      <c r="A158" s="2">
        <v>42501.760416666664</v>
      </c>
      <c r="B158" s="3" t="str">
        <f>"02111111012"</f>
        <v>02111111012</v>
      </c>
      <c r="C158" s="3" t="s">
        <v>44</v>
      </c>
      <c r="D158" s="3" t="s">
        <v>25</v>
      </c>
      <c r="E158" s="3" t="s">
        <v>250</v>
      </c>
      <c r="F158" s="3" t="s">
        <v>167</v>
      </c>
    </row>
    <row r="159" spans="1:9" hidden="1" x14ac:dyDescent="0.25">
      <c r="A159" s="2">
        <v>42501.760416666664</v>
      </c>
      <c r="B159" s="3" t="str">
        <f>"02111108024"</f>
        <v>02111108024</v>
      </c>
      <c r="C159" s="3" t="s">
        <v>251</v>
      </c>
      <c r="D159" s="3" t="s">
        <v>50</v>
      </c>
      <c r="E159" s="3" t="s">
        <v>144</v>
      </c>
      <c r="F159" s="3" t="s">
        <v>52</v>
      </c>
    </row>
    <row r="160" spans="1:9" hidden="1" x14ac:dyDescent="0.25">
      <c r="A160" s="2">
        <v>42501.770833333336</v>
      </c>
      <c r="B160" s="3" t="str">
        <f>"02114101031"</f>
        <v>02114101031</v>
      </c>
      <c r="C160" s="3" t="s">
        <v>23</v>
      </c>
      <c r="D160" s="3" t="s">
        <v>12</v>
      </c>
      <c r="E160" s="3" t="s">
        <v>252</v>
      </c>
      <c r="F160" s="3" t="s">
        <v>38</v>
      </c>
    </row>
    <row r="161" spans="1:9" hidden="1" x14ac:dyDescent="0.25">
      <c r="A161" s="2">
        <v>42501.791666666664</v>
      </c>
      <c r="B161" s="3" t="str">
        <f>"02213101037"</f>
        <v>02213101037</v>
      </c>
      <c r="C161" s="3" t="s">
        <v>106</v>
      </c>
      <c r="D161" s="3" t="s">
        <v>12</v>
      </c>
      <c r="E161" s="3" t="s">
        <v>253</v>
      </c>
      <c r="F161" s="3" t="s">
        <v>19</v>
      </c>
    </row>
    <row r="162" spans="1:9" hidden="1" x14ac:dyDescent="0.25">
      <c r="A162" s="2">
        <v>42501.791666666664</v>
      </c>
      <c r="B162" s="3" t="str">
        <f>"02209102009"</f>
        <v>02209102009</v>
      </c>
      <c r="C162" s="3" t="s">
        <v>254</v>
      </c>
      <c r="D162" s="3" t="s">
        <v>120</v>
      </c>
      <c r="E162" s="3" t="s">
        <v>249</v>
      </c>
      <c r="F162" s="27" t="s">
        <v>158</v>
      </c>
    </row>
    <row r="163" spans="1:9" x14ac:dyDescent="0.25">
      <c r="A163" s="2">
        <v>42501.75</v>
      </c>
      <c r="B163" s="3" t="s">
        <v>468</v>
      </c>
      <c r="C163" s="3" t="s">
        <v>112</v>
      </c>
      <c r="D163" s="3" t="s">
        <v>162</v>
      </c>
      <c r="E163" s="9" t="s">
        <v>100</v>
      </c>
      <c r="F163" s="29" t="s">
        <v>460</v>
      </c>
      <c r="G163" s="12" t="s">
        <v>485</v>
      </c>
      <c r="H163" s="12" t="s">
        <v>486</v>
      </c>
      <c r="I163" s="10"/>
    </row>
    <row r="164" spans="1:9" x14ac:dyDescent="0.25">
      <c r="A164" s="2">
        <v>42501.791666666664</v>
      </c>
      <c r="B164" s="3" t="str">
        <f>"02110112010"</f>
        <v>02110112010</v>
      </c>
      <c r="C164" s="3" t="s">
        <v>124</v>
      </c>
      <c r="D164" s="3" t="s">
        <v>255</v>
      </c>
      <c r="E164" s="3" t="s">
        <v>122</v>
      </c>
      <c r="F164" s="28" t="s">
        <v>175</v>
      </c>
      <c r="G164" s="36" t="s">
        <v>452</v>
      </c>
      <c r="H164" s="36" t="s">
        <v>453</v>
      </c>
      <c r="I164" s="34" t="s">
        <v>410</v>
      </c>
    </row>
    <row r="165" spans="1:9" ht="26.25" x14ac:dyDescent="0.25">
      <c r="A165" s="2">
        <v>42501.84375</v>
      </c>
      <c r="B165" s="3" t="str">
        <f>"02220702013"</f>
        <v>02220702013</v>
      </c>
      <c r="C165" s="3" t="s">
        <v>12</v>
      </c>
      <c r="D165" s="3" t="s">
        <v>256</v>
      </c>
      <c r="E165" s="3" t="s">
        <v>51</v>
      </c>
      <c r="F165" s="9" t="s">
        <v>138</v>
      </c>
      <c r="G165" s="12" t="s">
        <v>454</v>
      </c>
      <c r="H165" s="12"/>
      <c r="I165" s="10"/>
    </row>
    <row r="166" spans="1:9" hidden="1" x14ac:dyDescent="0.25">
      <c r="A166" s="2">
        <v>42502.708333333336</v>
      </c>
      <c r="B166" s="3" t="str">
        <f>"02108108010"</f>
        <v>02108108010</v>
      </c>
      <c r="C166" s="3" t="s">
        <v>257</v>
      </c>
      <c r="D166" s="3" t="s">
        <v>148</v>
      </c>
      <c r="E166" s="3" t="s">
        <v>258</v>
      </c>
      <c r="F166" s="3" t="s">
        <v>150</v>
      </c>
    </row>
    <row r="167" spans="1:9" hidden="1" x14ac:dyDescent="0.25">
      <c r="A167" s="2">
        <v>42502.75</v>
      </c>
      <c r="B167" s="3" t="str">
        <f>"02210102010"</f>
        <v>02210102010</v>
      </c>
      <c r="C167" s="3" t="s">
        <v>259</v>
      </c>
      <c r="D167" s="3" t="s">
        <v>124</v>
      </c>
      <c r="E167" s="3" t="s">
        <v>260</v>
      </c>
      <c r="F167" s="3" t="s">
        <v>181</v>
      </c>
    </row>
    <row r="168" spans="1:9" x14ac:dyDescent="0.25">
      <c r="A168" s="2">
        <v>42502.75</v>
      </c>
      <c r="B168" s="3" t="str">
        <f>"02109105012"</f>
        <v>02109105012</v>
      </c>
      <c r="C168" s="3" t="s">
        <v>112</v>
      </c>
      <c r="D168" s="3" t="s">
        <v>149</v>
      </c>
      <c r="E168" s="3" t="s">
        <v>100</v>
      </c>
      <c r="F168" s="9" t="s">
        <v>170</v>
      </c>
      <c r="G168" s="16" t="s">
        <v>423</v>
      </c>
      <c r="H168" s="12" t="s">
        <v>424</v>
      </c>
      <c r="I168" s="10"/>
    </row>
    <row r="169" spans="1:9" hidden="1" x14ac:dyDescent="0.25">
      <c r="A169" s="2">
        <v>42502.75</v>
      </c>
      <c r="B169" s="3" t="str">
        <f>"02108108009"</f>
        <v>02108108009</v>
      </c>
      <c r="C169" s="3" t="s">
        <v>261</v>
      </c>
      <c r="D169" s="3" t="s">
        <v>160</v>
      </c>
      <c r="E169" s="3" t="s">
        <v>258</v>
      </c>
      <c r="F169" s="3" t="s">
        <v>150</v>
      </c>
    </row>
    <row r="170" spans="1:9" hidden="1" x14ac:dyDescent="0.25">
      <c r="A170" s="2">
        <v>42502.791666666664</v>
      </c>
      <c r="B170" s="3" t="str">
        <f>"02210102009"</f>
        <v>02210102009</v>
      </c>
      <c r="C170" s="3" t="s">
        <v>262</v>
      </c>
      <c r="D170" s="3" t="s">
        <v>120</v>
      </c>
      <c r="E170" s="3" t="s">
        <v>260</v>
      </c>
      <c r="F170" s="3" t="s">
        <v>181</v>
      </c>
    </row>
    <row r="171" spans="1:9" x14ac:dyDescent="0.25">
      <c r="A171" s="2">
        <v>42502.791666666664</v>
      </c>
      <c r="B171" s="3" t="str">
        <f>"02109105011"</f>
        <v>02109105011</v>
      </c>
      <c r="C171" s="3" t="s">
        <v>98</v>
      </c>
      <c r="D171" s="3" t="s">
        <v>161</v>
      </c>
      <c r="E171" s="3" t="s">
        <v>100</v>
      </c>
      <c r="F171" s="9" t="s">
        <v>170</v>
      </c>
      <c r="G171" s="16" t="s">
        <v>430</v>
      </c>
      <c r="H171" s="12" t="s">
        <v>434</v>
      </c>
      <c r="I171" s="34" t="s">
        <v>397</v>
      </c>
    </row>
    <row r="172" spans="1:9" hidden="1" x14ac:dyDescent="0.25">
      <c r="A172" s="2">
        <v>42502.833333333336</v>
      </c>
      <c r="B172" s="3" t="str">
        <f>"02110115009"</f>
        <v>02110115009</v>
      </c>
      <c r="C172" s="3" t="s">
        <v>149</v>
      </c>
      <c r="D172" s="3" t="s">
        <v>98</v>
      </c>
      <c r="E172" s="3" t="s">
        <v>243</v>
      </c>
      <c r="F172" s="3" t="s">
        <v>156</v>
      </c>
    </row>
    <row r="173" spans="1:9" hidden="1" x14ac:dyDescent="0.25">
      <c r="A173" s="2">
        <v>42502.84375</v>
      </c>
      <c r="B173" s="3" t="str">
        <f>"02120972006"</f>
        <v>02120972006</v>
      </c>
      <c r="C173" s="3" t="s">
        <v>264</v>
      </c>
      <c r="D173" s="3" t="s">
        <v>25</v>
      </c>
      <c r="E173" s="3" t="s">
        <v>265</v>
      </c>
      <c r="F173" s="3" t="s">
        <v>220</v>
      </c>
    </row>
    <row r="174" spans="1:9" x14ac:dyDescent="0.25">
      <c r="A174" s="2">
        <v>42502.84375</v>
      </c>
      <c r="B174" s="3" t="str">
        <f>"02211104012"</f>
        <v>02211104012</v>
      </c>
      <c r="C174" s="3" t="s">
        <v>12</v>
      </c>
      <c r="D174" s="3" t="s">
        <v>187</v>
      </c>
      <c r="E174" s="3" t="s">
        <v>51</v>
      </c>
      <c r="F174" s="9" t="s">
        <v>132</v>
      </c>
      <c r="G174" s="16" t="s">
        <v>397</v>
      </c>
      <c r="H174" s="12" t="s">
        <v>398</v>
      </c>
      <c r="I174" s="10"/>
    </row>
    <row r="175" spans="1:9" hidden="1" x14ac:dyDescent="0.25">
      <c r="A175" s="2">
        <v>42503.708333333336</v>
      </c>
      <c r="B175" s="3" t="str">
        <f>"02108102009"</f>
        <v>02108102009</v>
      </c>
      <c r="C175" s="3" t="s">
        <v>227</v>
      </c>
      <c r="D175" s="3" t="s">
        <v>120</v>
      </c>
      <c r="E175" s="3" t="s">
        <v>266</v>
      </c>
      <c r="F175" s="3" t="s">
        <v>140</v>
      </c>
    </row>
    <row r="176" spans="1:9" hidden="1" x14ac:dyDescent="0.25">
      <c r="A176" s="2">
        <v>42503.739583333336</v>
      </c>
      <c r="B176" s="3" t="str">
        <f>"02113701010"</f>
        <v>02113701010</v>
      </c>
      <c r="C176" s="3" t="s">
        <v>26</v>
      </c>
      <c r="D176" s="3" t="s">
        <v>109</v>
      </c>
      <c r="E176" s="3" t="s">
        <v>267</v>
      </c>
      <c r="F176" s="3" t="s">
        <v>131</v>
      </c>
    </row>
    <row r="177" spans="1:9" hidden="1" x14ac:dyDescent="0.25">
      <c r="A177" s="2">
        <v>42503.75</v>
      </c>
      <c r="B177" s="3" t="str">
        <f>"02108102010"</f>
        <v>02108102010</v>
      </c>
      <c r="C177" s="3" t="s">
        <v>268</v>
      </c>
      <c r="D177" s="3" t="s">
        <v>124</v>
      </c>
      <c r="E177" s="3" t="s">
        <v>266</v>
      </c>
      <c r="F177" s="3" t="s">
        <v>140</v>
      </c>
    </row>
    <row r="178" spans="1:9" x14ac:dyDescent="0.25">
      <c r="A178" s="2">
        <v>42503.75</v>
      </c>
      <c r="B178" s="3" t="str">
        <f>"02209105012"</f>
        <v>02209105012</v>
      </c>
      <c r="C178" s="3" t="s">
        <v>98</v>
      </c>
      <c r="D178" s="3" t="s">
        <v>269</v>
      </c>
      <c r="E178" s="3" t="s">
        <v>100</v>
      </c>
      <c r="F178" s="9" t="s">
        <v>101</v>
      </c>
      <c r="G178" s="16" t="s">
        <v>412</v>
      </c>
      <c r="H178" s="12" t="s">
        <v>413</v>
      </c>
      <c r="I178" s="10"/>
    </row>
    <row r="179" spans="1:9" hidden="1" x14ac:dyDescent="0.25">
      <c r="A179" s="2">
        <v>42503.770833333336</v>
      </c>
      <c r="B179" s="3" t="str">
        <f>"02213301038"</f>
        <v>02213301038</v>
      </c>
      <c r="C179" s="3" t="s">
        <v>270</v>
      </c>
      <c r="D179" s="3" t="s">
        <v>32</v>
      </c>
      <c r="E179" s="3" t="s">
        <v>271</v>
      </c>
      <c r="F179" s="3" t="s">
        <v>35</v>
      </c>
    </row>
    <row r="180" spans="1:9" hidden="1" x14ac:dyDescent="0.25">
      <c r="A180" s="2">
        <v>42503.84375</v>
      </c>
      <c r="B180" s="3" t="str">
        <f>"02119202041"</f>
        <v>02119202041</v>
      </c>
      <c r="C180" s="3" t="s">
        <v>272</v>
      </c>
      <c r="D180" s="3" t="s">
        <v>9</v>
      </c>
      <c r="E180" s="3" t="s">
        <v>273</v>
      </c>
      <c r="F180" s="3" t="s">
        <v>11</v>
      </c>
    </row>
    <row r="181" spans="1:9" hidden="1" x14ac:dyDescent="0.25">
      <c r="A181" s="2">
        <v>42503.84375</v>
      </c>
      <c r="B181" s="3" t="str">
        <f>"02116301021"</f>
        <v>02116301021</v>
      </c>
      <c r="C181" s="3" t="s">
        <v>270</v>
      </c>
      <c r="D181" s="3" t="s">
        <v>87</v>
      </c>
      <c r="E181" s="3" t="s">
        <v>271</v>
      </c>
      <c r="F181" s="3" t="s">
        <v>89</v>
      </c>
    </row>
    <row r="182" spans="1:9" hidden="1" x14ac:dyDescent="0.25">
      <c r="A182" s="2">
        <v>42504.416666666664</v>
      </c>
      <c r="B182" s="3" t="str">
        <f>"02109106011"</f>
        <v>02109106011</v>
      </c>
      <c r="C182" s="3" t="s">
        <v>116</v>
      </c>
      <c r="D182" s="3" t="s">
        <v>120</v>
      </c>
      <c r="E182" s="3" t="s">
        <v>113</v>
      </c>
      <c r="F182" s="3" t="s">
        <v>173</v>
      </c>
    </row>
    <row r="183" spans="1:9" hidden="1" x14ac:dyDescent="0.25">
      <c r="A183" s="2">
        <v>42504.5</v>
      </c>
      <c r="B183" s="3" t="str">
        <f>"02109106012"</f>
        <v>02109106012</v>
      </c>
      <c r="C183" s="3" t="s">
        <v>274</v>
      </c>
      <c r="D183" s="3" t="s">
        <v>124</v>
      </c>
      <c r="E183" s="3" t="s">
        <v>113</v>
      </c>
      <c r="F183" s="3" t="s">
        <v>173</v>
      </c>
    </row>
    <row r="184" spans="1:9" hidden="1" x14ac:dyDescent="0.25">
      <c r="A184" s="2">
        <v>42504.541666666664</v>
      </c>
      <c r="B184" s="3" t="str">
        <f>"02111101011"</f>
        <v>02111101011</v>
      </c>
      <c r="C184" s="3" t="s">
        <v>23</v>
      </c>
      <c r="D184" s="3" t="s">
        <v>12</v>
      </c>
      <c r="E184" s="3" t="s">
        <v>78</v>
      </c>
      <c r="F184" s="3" t="s">
        <v>134</v>
      </c>
    </row>
    <row r="185" spans="1:9" hidden="1" x14ac:dyDescent="0.25">
      <c r="A185" s="2">
        <v>42504.541666666664</v>
      </c>
      <c r="B185" s="3" t="str">
        <f>"02111103016"</f>
        <v>02111103016</v>
      </c>
      <c r="C185" s="3" t="s">
        <v>234</v>
      </c>
      <c r="D185" s="3" t="s">
        <v>109</v>
      </c>
      <c r="E185" s="3" t="s">
        <v>275</v>
      </c>
      <c r="F185" s="3" t="s">
        <v>110</v>
      </c>
    </row>
    <row r="186" spans="1:9" hidden="1" x14ac:dyDescent="0.25">
      <c r="A186" s="2">
        <v>42505.541666666664</v>
      </c>
      <c r="B186" s="3" t="str">
        <f>"02212101021"</f>
        <v>02212101021</v>
      </c>
      <c r="C186" s="3" t="s">
        <v>179</v>
      </c>
      <c r="D186" s="3" t="s">
        <v>12</v>
      </c>
      <c r="E186" s="3" t="s">
        <v>189</v>
      </c>
      <c r="F186" s="3" t="s">
        <v>96</v>
      </c>
    </row>
    <row r="187" spans="1:9" ht="26.25" x14ac:dyDescent="0.25">
      <c r="A187" s="2">
        <v>42506.447916666664</v>
      </c>
      <c r="B187" s="3" t="s">
        <v>469</v>
      </c>
      <c r="C187" s="3" t="s">
        <v>62</v>
      </c>
      <c r="D187" s="3" t="s">
        <v>223</v>
      </c>
      <c r="E187" s="3" t="s">
        <v>34</v>
      </c>
      <c r="F187" s="9" t="s">
        <v>462</v>
      </c>
      <c r="G187" s="31" t="s">
        <v>487</v>
      </c>
      <c r="H187" s="12" t="s">
        <v>488</v>
      </c>
      <c r="I187" s="10"/>
    </row>
    <row r="188" spans="1:9" x14ac:dyDescent="0.25">
      <c r="A188" s="2">
        <v>42506.458333333336</v>
      </c>
      <c r="B188" s="3" t="str">
        <f>"02108102016"</f>
        <v>02108102016</v>
      </c>
      <c r="C188" s="3" t="s">
        <v>124</v>
      </c>
      <c r="D188" s="3" t="s">
        <v>139</v>
      </c>
      <c r="E188" s="3" t="s">
        <v>100</v>
      </c>
      <c r="F188" s="9" t="s">
        <v>140</v>
      </c>
      <c r="G188" s="12" t="s">
        <v>445</v>
      </c>
      <c r="H188" s="12" t="s">
        <v>446</v>
      </c>
      <c r="I188" s="34" t="s">
        <v>418</v>
      </c>
    </row>
    <row r="189" spans="1:9" x14ac:dyDescent="0.25">
      <c r="A189" s="2">
        <v>42506.479166666664</v>
      </c>
      <c r="B189" s="3" t="str">
        <f>"02207101015"</f>
        <v>02207101015</v>
      </c>
      <c r="C189" s="3" t="s">
        <v>120</v>
      </c>
      <c r="D189" s="3" t="s">
        <v>125</v>
      </c>
      <c r="E189" s="3" t="s">
        <v>122</v>
      </c>
      <c r="F189" s="9" t="s">
        <v>123</v>
      </c>
      <c r="G189" s="12" t="s">
        <v>448</v>
      </c>
      <c r="H189" s="12" t="s">
        <v>449</v>
      </c>
      <c r="I189" s="16"/>
    </row>
    <row r="190" spans="1:9" x14ac:dyDescent="0.25">
      <c r="A190" s="2">
        <v>42506.5</v>
      </c>
      <c r="B190" s="3" t="str">
        <f>"02108102015"</f>
        <v>02108102015</v>
      </c>
      <c r="C190" s="3" t="s">
        <v>120</v>
      </c>
      <c r="D190" s="3" t="s">
        <v>141</v>
      </c>
      <c r="E190" s="3" t="s">
        <v>100</v>
      </c>
      <c r="F190" s="9" t="s">
        <v>140</v>
      </c>
      <c r="G190" s="12" t="s">
        <v>456</v>
      </c>
      <c r="H190" s="12" t="s">
        <v>457</v>
      </c>
      <c r="I190" s="34" t="s">
        <v>418</v>
      </c>
    </row>
    <row r="191" spans="1:9" x14ac:dyDescent="0.25">
      <c r="A191" s="2">
        <v>42506.520833333336</v>
      </c>
      <c r="B191" s="3" t="str">
        <f>"02207101016"</f>
        <v>02207101016</v>
      </c>
      <c r="C191" s="3" t="s">
        <v>124</v>
      </c>
      <c r="D191" s="3" t="s">
        <v>121</v>
      </c>
      <c r="E191" s="3" t="s">
        <v>122</v>
      </c>
      <c r="F191" s="9" t="s">
        <v>123</v>
      </c>
      <c r="G191" s="12"/>
      <c r="H191" s="12"/>
      <c r="I191" s="10"/>
    </row>
    <row r="192" spans="1:9" x14ac:dyDescent="0.25">
      <c r="A192" s="2">
        <v>42506.541666666664</v>
      </c>
      <c r="B192" s="3" t="str">
        <f>"02209102015"</f>
        <v>02209102015</v>
      </c>
      <c r="C192" s="3" t="s">
        <v>120</v>
      </c>
      <c r="D192" s="3" t="s">
        <v>157</v>
      </c>
      <c r="E192" s="3" t="s">
        <v>100</v>
      </c>
      <c r="F192" s="9" t="s">
        <v>158</v>
      </c>
      <c r="G192" s="16" t="s">
        <v>418</v>
      </c>
      <c r="H192" s="12">
        <v>92096292</v>
      </c>
      <c r="I192" s="10"/>
    </row>
    <row r="193" spans="1:9" hidden="1" x14ac:dyDescent="0.25">
      <c r="A193" s="2">
        <v>42506.552083333336</v>
      </c>
      <c r="B193" s="3" t="str">
        <f>"02112107033"</f>
        <v>02112107033</v>
      </c>
      <c r="C193" s="3" t="s">
        <v>277</v>
      </c>
      <c r="D193" s="3" t="s">
        <v>9</v>
      </c>
      <c r="E193" s="3" t="s">
        <v>278</v>
      </c>
      <c r="F193" s="3" t="s">
        <v>69</v>
      </c>
    </row>
    <row r="194" spans="1:9" x14ac:dyDescent="0.25">
      <c r="A194" s="2">
        <v>42506.5625</v>
      </c>
      <c r="B194" s="3" t="str">
        <f>"02110112013"</f>
        <v>02110112013</v>
      </c>
      <c r="C194" s="3" t="s">
        <v>120</v>
      </c>
      <c r="D194" s="3" t="s">
        <v>174</v>
      </c>
      <c r="E194" s="3" t="s">
        <v>122</v>
      </c>
      <c r="F194" s="9" t="s">
        <v>175</v>
      </c>
      <c r="G194" s="12" t="s">
        <v>489</v>
      </c>
      <c r="H194" s="12" t="s">
        <v>492</v>
      </c>
      <c r="I194" s="10"/>
    </row>
    <row r="195" spans="1:9" x14ac:dyDescent="0.25">
      <c r="A195" s="2">
        <v>42506.583333333336</v>
      </c>
      <c r="B195" s="3" t="str">
        <f>"02209102016"</f>
        <v>02209102016</v>
      </c>
      <c r="C195" s="3" t="s">
        <v>124</v>
      </c>
      <c r="D195" s="3" t="s">
        <v>162</v>
      </c>
      <c r="E195" s="3" t="s">
        <v>100</v>
      </c>
      <c r="F195" s="9" t="s">
        <v>158</v>
      </c>
      <c r="G195" s="12" t="s">
        <v>484</v>
      </c>
      <c r="H195" s="37">
        <v>95065187</v>
      </c>
      <c r="I195" s="10"/>
    </row>
    <row r="196" spans="1:9" x14ac:dyDescent="0.25">
      <c r="A196" s="2">
        <v>42506.604166666664</v>
      </c>
      <c r="B196" s="3" t="str">
        <f>"02110112014"</f>
        <v>02110112014</v>
      </c>
      <c r="C196" s="3" t="s">
        <v>124</v>
      </c>
      <c r="D196" s="3" t="s">
        <v>178</v>
      </c>
      <c r="E196" s="3" t="s">
        <v>122</v>
      </c>
      <c r="F196" s="9" t="s">
        <v>175</v>
      </c>
      <c r="G196" s="12" t="s">
        <v>436</v>
      </c>
      <c r="H196" s="12" t="s">
        <v>437</v>
      </c>
      <c r="I196" s="34" t="s">
        <v>395</v>
      </c>
    </row>
    <row r="197" spans="1:9" x14ac:dyDescent="0.25">
      <c r="A197" s="2">
        <v>42506.65625</v>
      </c>
      <c r="B197" s="3" t="str">
        <f>"02111109029"</f>
        <v>02111109029</v>
      </c>
      <c r="C197" s="3" t="s">
        <v>62</v>
      </c>
      <c r="D197" s="3" t="s">
        <v>279</v>
      </c>
      <c r="E197" s="3" t="s">
        <v>51</v>
      </c>
      <c r="F197" s="9" t="s">
        <v>64</v>
      </c>
      <c r="G197" s="16" t="s">
        <v>395</v>
      </c>
      <c r="H197" s="12" t="s">
        <v>396</v>
      </c>
      <c r="I197" s="10"/>
    </row>
    <row r="198" spans="1:9" hidden="1" x14ac:dyDescent="0.25">
      <c r="A198" s="2">
        <v>42506.666666666664</v>
      </c>
      <c r="B198" s="3" t="str">
        <f>"02208102010"</f>
        <v>02208102010</v>
      </c>
      <c r="C198" s="3" t="s">
        <v>280</v>
      </c>
      <c r="D198" s="3" t="s">
        <v>124</v>
      </c>
      <c r="E198" s="3" t="s">
        <v>243</v>
      </c>
      <c r="F198" s="3" t="s">
        <v>200</v>
      </c>
    </row>
    <row r="199" spans="1:9" x14ac:dyDescent="0.25">
      <c r="A199" s="2">
        <v>42506.708333333336</v>
      </c>
      <c r="B199" s="3" t="str">
        <f>"02111111013"</f>
        <v>02111111013</v>
      </c>
      <c r="C199" s="3" t="s">
        <v>25</v>
      </c>
      <c r="D199" s="3" t="s">
        <v>72</v>
      </c>
      <c r="E199" s="3" t="s">
        <v>51</v>
      </c>
      <c r="F199" s="9" t="s">
        <v>167</v>
      </c>
      <c r="G199" s="16" t="s">
        <v>399</v>
      </c>
      <c r="H199" s="17">
        <v>41385568</v>
      </c>
      <c r="I199" s="10"/>
    </row>
    <row r="200" spans="1:9" hidden="1" x14ac:dyDescent="0.25">
      <c r="A200" s="2">
        <v>42506.708333333336</v>
      </c>
      <c r="B200" s="3" t="str">
        <f>"02208102009"</f>
        <v>02208102009</v>
      </c>
      <c r="C200" s="3" t="s">
        <v>281</v>
      </c>
      <c r="D200" s="3" t="s">
        <v>120</v>
      </c>
      <c r="E200" s="3" t="s">
        <v>243</v>
      </c>
      <c r="F200" s="3" t="s">
        <v>200</v>
      </c>
    </row>
    <row r="201" spans="1:9" hidden="1" x14ac:dyDescent="0.25">
      <c r="A201" s="2">
        <v>42506.729166666664</v>
      </c>
      <c r="B201" s="3" t="str">
        <f>"02207103013"</f>
        <v>02207103013</v>
      </c>
      <c r="C201" s="3" t="s">
        <v>176</v>
      </c>
      <c r="D201" s="3" t="s">
        <v>98</v>
      </c>
      <c r="E201" s="3" t="s">
        <v>169</v>
      </c>
      <c r="F201" s="3" t="s">
        <v>127</v>
      </c>
    </row>
    <row r="202" spans="1:9" x14ac:dyDescent="0.25">
      <c r="A202" s="2">
        <v>42506.760416666664</v>
      </c>
      <c r="B202" s="3" t="str">
        <f>"02111104015"</f>
        <v>02111104015</v>
      </c>
      <c r="C202" s="3" t="s">
        <v>9</v>
      </c>
      <c r="D202" s="3" t="s">
        <v>91</v>
      </c>
      <c r="E202" s="3" t="s">
        <v>51</v>
      </c>
      <c r="F202" s="9" t="s">
        <v>119</v>
      </c>
      <c r="G202" s="16" t="s">
        <v>402</v>
      </c>
      <c r="H202" s="12" t="s">
        <v>403</v>
      </c>
      <c r="I202" s="10"/>
    </row>
    <row r="203" spans="1:9" hidden="1" x14ac:dyDescent="0.25">
      <c r="A203" s="2">
        <v>42506.770833333336</v>
      </c>
      <c r="B203" s="3" t="str">
        <f>"02113921029"</f>
        <v>02113921029</v>
      </c>
      <c r="C203" s="3" t="s">
        <v>10</v>
      </c>
      <c r="D203" s="3" t="s">
        <v>25</v>
      </c>
      <c r="E203" s="3" t="s">
        <v>282</v>
      </c>
      <c r="F203" s="3" t="s">
        <v>56</v>
      </c>
    </row>
    <row r="204" spans="1:9" hidden="1" x14ac:dyDescent="0.25">
      <c r="A204" s="2">
        <v>42506.791666666664</v>
      </c>
      <c r="B204" s="3" t="str">
        <f>"02110114016"</f>
        <v>02110114016</v>
      </c>
      <c r="C204" s="3" t="s">
        <v>161</v>
      </c>
      <c r="D204" s="3" t="s">
        <v>112</v>
      </c>
      <c r="E204" s="3" t="s">
        <v>243</v>
      </c>
      <c r="F204" s="3" t="s">
        <v>143</v>
      </c>
    </row>
    <row r="205" spans="1:9" x14ac:dyDescent="0.25">
      <c r="A205" s="2">
        <v>42508.708333333336</v>
      </c>
      <c r="B205" s="3" t="s">
        <v>470</v>
      </c>
      <c r="C205" s="3" t="s">
        <v>160</v>
      </c>
      <c r="D205" s="3" t="s">
        <v>471</v>
      </c>
      <c r="E205" s="3" t="s">
        <v>122</v>
      </c>
      <c r="F205" s="9" t="s">
        <v>460</v>
      </c>
      <c r="G205" s="12"/>
      <c r="H205" s="12"/>
      <c r="I205" s="10"/>
    </row>
    <row r="206" spans="1:9" x14ac:dyDescent="0.25">
      <c r="A206" s="2">
        <v>42508.75</v>
      </c>
      <c r="B206" s="3" t="str">
        <f>"02111101015"</f>
        <v>02111101015</v>
      </c>
      <c r="C206" s="3" t="s">
        <v>12</v>
      </c>
      <c r="D206" s="3" t="s">
        <v>185</v>
      </c>
      <c r="E206" s="3" t="s">
        <v>51</v>
      </c>
      <c r="F206" s="9" t="s">
        <v>134</v>
      </c>
      <c r="G206" s="16" t="s">
        <v>408</v>
      </c>
      <c r="H206" s="12" t="s">
        <v>409</v>
      </c>
      <c r="I206" s="10"/>
    </row>
    <row r="207" spans="1:9" hidden="1" x14ac:dyDescent="0.25">
      <c r="A207" s="2">
        <v>42508.770833333336</v>
      </c>
      <c r="B207" s="3" t="str">
        <f>"02214101044"</f>
        <v>02214101044</v>
      </c>
      <c r="C207" s="3" t="s">
        <v>231</v>
      </c>
      <c r="D207" s="3" t="s">
        <v>12</v>
      </c>
      <c r="E207" s="3" t="s">
        <v>283</v>
      </c>
      <c r="F207" s="3" t="s">
        <v>41</v>
      </c>
    </row>
    <row r="208" spans="1:9" hidden="1" x14ac:dyDescent="0.25">
      <c r="A208" s="2">
        <v>42508.791666666664</v>
      </c>
      <c r="B208" s="3" t="str">
        <f>"02220401037"</f>
        <v>02220401037</v>
      </c>
      <c r="C208" s="3" t="s">
        <v>284</v>
      </c>
      <c r="D208" s="3" t="s">
        <v>12</v>
      </c>
      <c r="E208" s="3" t="s">
        <v>285</v>
      </c>
      <c r="F208" s="3" t="s">
        <v>29</v>
      </c>
    </row>
    <row r="209" spans="1:9" x14ac:dyDescent="0.25">
      <c r="A209" s="2">
        <v>42508.802083333336</v>
      </c>
      <c r="B209" s="3" t="str">
        <f>"02212101027"</f>
        <v>02212101027</v>
      </c>
      <c r="C209" s="3" t="s">
        <v>12</v>
      </c>
      <c r="D209" s="3" t="s">
        <v>82</v>
      </c>
      <c r="E209" s="3" t="s">
        <v>51</v>
      </c>
      <c r="F209" s="9" t="s">
        <v>96</v>
      </c>
      <c r="G209" s="16" t="s">
        <v>410</v>
      </c>
      <c r="H209" s="12" t="s">
        <v>411</v>
      </c>
      <c r="I209" s="10"/>
    </row>
    <row r="210" spans="1:9" hidden="1" x14ac:dyDescent="0.25">
      <c r="A210" s="2">
        <v>42508.84375</v>
      </c>
      <c r="B210" s="3" t="str">
        <f>"02114941013"</f>
        <v>02114941013</v>
      </c>
      <c r="C210" s="3" t="s">
        <v>287</v>
      </c>
      <c r="D210" s="3" t="s">
        <v>62</v>
      </c>
      <c r="E210" s="3" t="s">
        <v>40</v>
      </c>
      <c r="F210" s="3" t="s">
        <v>129</v>
      </c>
    </row>
    <row r="211" spans="1:9" x14ac:dyDescent="0.25">
      <c r="A211" s="2">
        <v>42509.708333333336</v>
      </c>
      <c r="B211" s="3" t="str">
        <f>"02110115014"</f>
        <v>02110115014</v>
      </c>
      <c r="C211" s="3" t="s">
        <v>98</v>
      </c>
      <c r="D211" s="3" t="s">
        <v>280</v>
      </c>
      <c r="E211" s="3" t="s">
        <v>122</v>
      </c>
      <c r="F211" s="9" t="s">
        <v>156</v>
      </c>
      <c r="G211" s="16" t="s">
        <v>416</v>
      </c>
      <c r="H211" s="12" t="s">
        <v>417</v>
      </c>
      <c r="I211" s="10"/>
    </row>
    <row r="212" spans="1:9" x14ac:dyDescent="0.25">
      <c r="A212" s="2">
        <v>42509.708333333336</v>
      </c>
      <c r="B212" s="3" t="str">
        <f>"02107114015"</f>
        <v>02107114015</v>
      </c>
      <c r="C212" s="3" t="s">
        <v>98</v>
      </c>
      <c r="D212" s="3" t="s">
        <v>218</v>
      </c>
      <c r="E212" s="3" t="s">
        <v>100</v>
      </c>
      <c r="F212" s="9" t="s">
        <v>164</v>
      </c>
      <c r="G212" s="12" t="s">
        <v>493</v>
      </c>
      <c r="H212" s="12" t="s">
        <v>447</v>
      </c>
      <c r="I212" s="34" t="s">
        <v>406</v>
      </c>
    </row>
    <row r="213" spans="1:9" hidden="1" x14ac:dyDescent="0.25">
      <c r="A213" s="2">
        <v>42509.708333333336</v>
      </c>
      <c r="B213" s="3" t="str">
        <f>"02108105016"</f>
        <v>02108105016</v>
      </c>
      <c r="C213" s="3" t="s">
        <v>111</v>
      </c>
      <c r="D213" s="3" t="s">
        <v>98</v>
      </c>
      <c r="E213" s="3" t="s">
        <v>288</v>
      </c>
      <c r="F213" s="3" t="s">
        <v>114</v>
      </c>
    </row>
    <row r="214" spans="1:9" hidden="1" x14ac:dyDescent="0.25">
      <c r="A214" s="2">
        <v>42509.75</v>
      </c>
      <c r="B214" s="3" t="str">
        <f>"02209105016"</f>
        <v>02209105016</v>
      </c>
      <c r="C214" s="3" t="s">
        <v>289</v>
      </c>
      <c r="D214" s="3" t="s">
        <v>98</v>
      </c>
      <c r="E214" s="3" t="s">
        <v>290</v>
      </c>
      <c r="F214" s="3" t="s">
        <v>101</v>
      </c>
    </row>
    <row r="215" spans="1:9" x14ac:dyDescent="0.25">
      <c r="A215" s="2">
        <v>42509.75</v>
      </c>
      <c r="B215" s="3" t="str">
        <f>"02111108028"</f>
        <v>02111108028</v>
      </c>
      <c r="C215" s="3" t="s">
        <v>50</v>
      </c>
      <c r="D215" s="3" t="s">
        <v>291</v>
      </c>
      <c r="E215" s="3" t="s">
        <v>51</v>
      </c>
      <c r="F215" s="9" t="s">
        <v>52</v>
      </c>
      <c r="G215" s="16" t="s">
        <v>406</v>
      </c>
      <c r="H215" s="12" t="s">
        <v>407</v>
      </c>
      <c r="I215" s="10"/>
    </row>
    <row r="216" spans="1:9" hidden="1" x14ac:dyDescent="0.25">
      <c r="A216" s="2">
        <v>42509.75</v>
      </c>
      <c r="B216" s="3" t="str">
        <f>"02108105015"</f>
        <v>02108105015</v>
      </c>
      <c r="C216" s="3" t="s">
        <v>116</v>
      </c>
      <c r="D216" s="3" t="s">
        <v>112</v>
      </c>
      <c r="E216" s="3" t="s">
        <v>288</v>
      </c>
      <c r="F216" s="3" t="s">
        <v>114</v>
      </c>
    </row>
    <row r="217" spans="1:9" hidden="1" x14ac:dyDescent="0.25">
      <c r="A217" s="2">
        <v>42509.75</v>
      </c>
      <c r="B217" s="3" t="str">
        <f>"02109106014"</f>
        <v>02109106014</v>
      </c>
      <c r="C217" s="3" t="s">
        <v>171</v>
      </c>
      <c r="D217" s="3" t="s">
        <v>120</v>
      </c>
      <c r="E217" s="3" t="s">
        <v>172</v>
      </c>
      <c r="F217" s="3" t="s">
        <v>173</v>
      </c>
    </row>
    <row r="218" spans="1:9" hidden="1" x14ac:dyDescent="0.25">
      <c r="A218" s="2">
        <v>42509.791666666664</v>
      </c>
      <c r="B218" s="3" t="str">
        <f>"02109106013"</f>
        <v>02109106013</v>
      </c>
      <c r="C218" s="3" t="s">
        <v>177</v>
      </c>
      <c r="D218" s="3" t="s">
        <v>124</v>
      </c>
      <c r="E218" s="3" t="s">
        <v>172</v>
      </c>
      <c r="F218" s="3" t="s">
        <v>173</v>
      </c>
    </row>
    <row r="219" spans="1:9" hidden="1" x14ac:dyDescent="0.25">
      <c r="A219" s="2">
        <v>42509.791666666664</v>
      </c>
      <c r="B219" s="3" t="str">
        <f>"02220702019"</f>
        <v>02220702019</v>
      </c>
      <c r="C219" s="3" t="s">
        <v>292</v>
      </c>
      <c r="D219" s="3" t="s">
        <v>12</v>
      </c>
      <c r="E219" s="3" t="s">
        <v>293</v>
      </c>
      <c r="F219" s="3" t="s">
        <v>138</v>
      </c>
    </row>
    <row r="220" spans="1:9" x14ac:dyDescent="0.25">
      <c r="A220" s="2">
        <v>42509.802083333336</v>
      </c>
      <c r="B220" s="3" t="str">
        <f>"02212102028"</f>
        <v>02212102028</v>
      </c>
      <c r="C220" s="3" t="s">
        <v>9</v>
      </c>
      <c r="D220" s="3" t="s">
        <v>231</v>
      </c>
      <c r="E220" s="3" t="s">
        <v>51</v>
      </c>
      <c r="F220" s="9" t="s">
        <v>71</v>
      </c>
      <c r="G220" s="16" t="s">
        <v>400</v>
      </c>
      <c r="H220" s="12" t="s">
        <v>401</v>
      </c>
      <c r="I220" s="10"/>
    </row>
    <row r="221" spans="1:9" hidden="1" x14ac:dyDescent="0.25">
      <c r="A221" s="2">
        <v>42509.822916666664</v>
      </c>
      <c r="B221" s="3" t="str">
        <f>"02112105018"</f>
        <v>02112105018</v>
      </c>
      <c r="C221" s="3" t="s">
        <v>185</v>
      </c>
      <c r="D221" s="3" t="s">
        <v>12</v>
      </c>
      <c r="E221" s="3" t="s">
        <v>194</v>
      </c>
      <c r="F221" s="3" t="s">
        <v>79</v>
      </c>
    </row>
    <row r="222" spans="1:9" hidden="1" x14ac:dyDescent="0.25">
      <c r="A222" s="2">
        <v>42510.708333333336</v>
      </c>
      <c r="B222" s="3" t="str">
        <f>"02107101016"</f>
        <v>02107101016</v>
      </c>
      <c r="C222" s="3" t="s">
        <v>159</v>
      </c>
      <c r="D222" s="3" t="s">
        <v>120</v>
      </c>
      <c r="E222" s="3" t="s">
        <v>152</v>
      </c>
      <c r="F222" s="3" t="s">
        <v>153</v>
      </c>
    </row>
    <row r="223" spans="1:9" hidden="1" x14ac:dyDescent="0.25">
      <c r="A223" s="2">
        <v>42510.729166666664</v>
      </c>
      <c r="B223" s="3" t="str">
        <f>"02211104016"</f>
        <v>02211104016</v>
      </c>
      <c r="C223" s="3" t="s">
        <v>20</v>
      </c>
      <c r="D223" s="3" t="s">
        <v>12</v>
      </c>
      <c r="E223" s="3" t="s">
        <v>205</v>
      </c>
      <c r="F223" s="3" t="s">
        <v>132</v>
      </c>
    </row>
    <row r="224" spans="1:9" hidden="1" x14ac:dyDescent="0.25">
      <c r="A224" s="2">
        <v>42510.75</v>
      </c>
      <c r="B224" s="3" t="str">
        <f>"02107101015"</f>
        <v>02107101015</v>
      </c>
      <c r="C224" s="3" t="s">
        <v>151</v>
      </c>
      <c r="D224" s="3" t="s">
        <v>124</v>
      </c>
      <c r="E224" s="3" t="s">
        <v>152</v>
      </c>
      <c r="F224" s="3" t="s">
        <v>153</v>
      </c>
    </row>
    <row r="225" spans="1:9" hidden="1" x14ac:dyDescent="0.25">
      <c r="A225" s="2">
        <v>42510.760416666664</v>
      </c>
      <c r="B225" s="3" t="str">
        <f>"02113922031"</f>
        <v>02113922031</v>
      </c>
      <c r="C225" s="3" t="s">
        <v>166</v>
      </c>
      <c r="D225" s="3" t="s">
        <v>9</v>
      </c>
      <c r="E225" s="3" t="s">
        <v>253</v>
      </c>
      <c r="F225" s="3" t="s">
        <v>45</v>
      </c>
    </row>
    <row r="226" spans="1:9" hidden="1" x14ac:dyDescent="0.25">
      <c r="A226" s="2">
        <v>42511.541666666664</v>
      </c>
      <c r="B226" s="3" t="str">
        <f>"02116101048"</f>
        <v>02116101048</v>
      </c>
      <c r="C226" s="3" t="s">
        <v>294</v>
      </c>
      <c r="D226" s="3" t="s">
        <v>12</v>
      </c>
      <c r="E226" s="3" t="s">
        <v>295</v>
      </c>
      <c r="F226" s="3" t="s">
        <v>16</v>
      </c>
    </row>
    <row r="227" spans="1:9" hidden="1" x14ac:dyDescent="0.25">
      <c r="A227" s="2">
        <v>42512.625</v>
      </c>
      <c r="B227" s="3" t="str">
        <f>"02119101053"</f>
        <v>02119101053</v>
      </c>
      <c r="C227" s="3" t="s">
        <v>106</v>
      </c>
      <c r="D227" s="3" t="s">
        <v>12</v>
      </c>
      <c r="E227" s="3" t="s">
        <v>107</v>
      </c>
      <c r="F227" s="3" t="s">
        <v>24</v>
      </c>
    </row>
    <row r="228" spans="1:9" hidden="1" x14ac:dyDescent="0.25">
      <c r="A228" s="2">
        <v>42512.666666666664</v>
      </c>
      <c r="B228" s="3" t="str">
        <f>"02109105016"</f>
        <v>02109105016</v>
      </c>
      <c r="C228" s="3" t="s">
        <v>176</v>
      </c>
      <c r="D228" s="3" t="s">
        <v>98</v>
      </c>
      <c r="E228" s="3" t="s">
        <v>169</v>
      </c>
      <c r="F228" s="3" t="s">
        <v>170</v>
      </c>
    </row>
    <row r="229" spans="1:9" hidden="1" x14ac:dyDescent="0.25">
      <c r="A229" s="2">
        <v>42512.708333333336</v>
      </c>
      <c r="B229" s="3" t="str">
        <f>"02109105015"</f>
        <v>02109105015</v>
      </c>
      <c r="C229" s="3" t="s">
        <v>168</v>
      </c>
      <c r="D229" s="3" t="s">
        <v>112</v>
      </c>
      <c r="E229" s="3" t="s">
        <v>169</v>
      </c>
      <c r="F229" s="3" t="s">
        <v>170</v>
      </c>
    </row>
    <row r="230" spans="1:9" x14ac:dyDescent="0.25">
      <c r="A230" s="2">
        <v>42509.854166666664</v>
      </c>
      <c r="B230" s="3" t="s">
        <v>472</v>
      </c>
      <c r="C230" s="3" t="s">
        <v>25</v>
      </c>
      <c r="D230" s="3" t="s">
        <v>276</v>
      </c>
      <c r="E230" s="3" t="s">
        <v>34</v>
      </c>
      <c r="F230" s="9" t="s">
        <v>220</v>
      </c>
      <c r="G230" s="23" t="s">
        <v>494</v>
      </c>
      <c r="H230" s="21"/>
      <c r="I230" s="10"/>
    </row>
    <row r="231" spans="1:9" x14ac:dyDescent="0.25">
      <c r="A231" s="2">
        <v>42513.708333333336</v>
      </c>
      <c r="B231" s="3" t="str">
        <f>"02108108016"</f>
        <v>02108108016</v>
      </c>
      <c r="C231" s="3" t="s">
        <v>148</v>
      </c>
      <c r="D231" s="3" t="s">
        <v>161</v>
      </c>
      <c r="E231" s="3" t="s">
        <v>122</v>
      </c>
      <c r="F231" s="9" t="s">
        <v>150</v>
      </c>
      <c r="G231" s="21" t="s">
        <v>427</v>
      </c>
      <c r="H231" s="21" t="s">
        <v>428</v>
      </c>
      <c r="I231" s="10"/>
    </row>
    <row r="232" spans="1:9" x14ac:dyDescent="0.25">
      <c r="A232" s="2">
        <v>42513.75</v>
      </c>
      <c r="B232" s="3" t="str">
        <f>"02210102015"</f>
        <v>02210102015</v>
      </c>
      <c r="C232" s="3" t="s">
        <v>120</v>
      </c>
      <c r="D232" s="3" t="s">
        <v>180</v>
      </c>
      <c r="E232" s="3" t="s">
        <v>100</v>
      </c>
      <c r="F232" s="9" t="s">
        <v>181</v>
      </c>
      <c r="G232" s="16" t="s">
        <v>393</v>
      </c>
      <c r="H232" s="12" t="s">
        <v>394</v>
      </c>
      <c r="I232" s="10"/>
    </row>
    <row r="233" spans="1:9" x14ac:dyDescent="0.25">
      <c r="A233" s="2">
        <v>42513.75</v>
      </c>
      <c r="B233" s="3" t="str">
        <f>"02108108015"</f>
        <v>02108108015</v>
      </c>
      <c r="C233" s="3" t="s">
        <v>160</v>
      </c>
      <c r="D233" s="3" t="s">
        <v>149</v>
      </c>
      <c r="E233" s="3" t="s">
        <v>122</v>
      </c>
      <c r="F233" s="9" t="s">
        <v>150</v>
      </c>
      <c r="G233" s="16" t="s">
        <v>425</v>
      </c>
      <c r="H233" s="12" t="s">
        <v>426</v>
      </c>
      <c r="I233" s="10"/>
    </row>
    <row r="234" spans="1:9" hidden="1" x14ac:dyDescent="0.25">
      <c r="A234" s="2">
        <v>42513.760416666664</v>
      </c>
      <c r="B234" s="3" t="str">
        <f>"02111104018"</f>
        <v>02111104018</v>
      </c>
      <c r="C234" s="3" t="s">
        <v>26</v>
      </c>
      <c r="D234" s="3" t="s">
        <v>9</v>
      </c>
      <c r="E234" s="3" t="s">
        <v>296</v>
      </c>
      <c r="F234" s="3" t="s">
        <v>119</v>
      </c>
    </row>
    <row r="235" spans="1:9" hidden="1" x14ac:dyDescent="0.25">
      <c r="A235" s="2">
        <v>42513.770833333336</v>
      </c>
      <c r="B235" s="3" t="str">
        <f>"02114101044"</f>
        <v>02114101044</v>
      </c>
      <c r="C235" s="3" t="s">
        <v>108</v>
      </c>
      <c r="D235" s="3" t="s">
        <v>12</v>
      </c>
      <c r="E235" s="3" t="s">
        <v>297</v>
      </c>
      <c r="F235" s="3" t="s">
        <v>38</v>
      </c>
    </row>
    <row r="236" spans="1:9" hidden="1" x14ac:dyDescent="0.25">
      <c r="A236" s="2">
        <v>42513.770833333336</v>
      </c>
      <c r="B236" s="3" t="str">
        <f>"02114201051"</f>
        <v>02114201051</v>
      </c>
      <c r="C236" s="3" t="s">
        <v>298</v>
      </c>
      <c r="D236" s="3" t="s">
        <v>9</v>
      </c>
      <c r="E236" s="3" t="s">
        <v>299</v>
      </c>
      <c r="F236" s="3" t="s">
        <v>22</v>
      </c>
    </row>
    <row r="237" spans="1:9" hidden="1" x14ac:dyDescent="0.25">
      <c r="A237" s="2">
        <v>42513.770833333336</v>
      </c>
      <c r="B237" s="3" t="str">
        <f>"02114932052"</f>
        <v>02114932052</v>
      </c>
      <c r="C237" s="3" t="s">
        <v>91</v>
      </c>
      <c r="D237" s="3" t="s">
        <v>25</v>
      </c>
      <c r="E237" s="3" t="s">
        <v>300</v>
      </c>
      <c r="F237" s="3" t="s">
        <v>27</v>
      </c>
    </row>
    <row r="238" spans="1:9" hidden="1" x14ac:dyDescent="0.25">
      <c r="A238" s="2">
        <v>42513.770833333336</v>
      </c>
      <c r="B238" s="3" t="str">
        <f>"02213101051"</f>
        <v>02213101051</v>
      </c>
      <c r="C238" s="3" t="s">
        <v>301</v>
      </c>
      <c r="D238" s="3" t="s">
        <v>12</v>
      </c>
      <c r="E238" s="3" t="s">
        <v>302</v>
      </c>
      <c r="F238" s="3" t="s">
        <v>19</v>
      </c>
    </row>
    <row r="239" spans="1:9" hidden="1" x14ac:dyDescent="0.25">
      <c r="A239" s="2">
        <v>42513.791666666664</v>
      </c>
      <c r="B239" s="3" t="str">
        <f>"02107114018"</f>
        <v>02107114018</v>
      </c>
      <c r="C239" s="3" t="s">
        <v>303</v>
      </c>
      <c r="D239" s="3" t="s">
        <v>98</v>
      </c>
      <c r="E239" s="3" t="s">
        <v>304</v>
      </c>
      <c r="F239" s="3" t="s">
        <v>164</v>
      </c>
    </row>
    <row r="240" spans="1:9" x14ac:dyDescent="0.25">
      <c r="A240" s="2">
        <v>42513.791666666664</v>
      </c>
      <c r="B240" s="3" t="s">
        <v>473</v>
      </c>
      <c r="C240" s="3" t="s">
        <v>160</v>
      </c>
      <c r="D240" s="3" t="s">
        <v>210</v>
      </c>
      <c r="E240" s="3" t="s">
        <v>122</v>
      </c>
      <c r="F240" s="9" t="s">
        <v>458</v>
      </c>
      <c r="G240" s="21" t="s">
        <v>485</v>
      </c>
      <c r="H240" s="21" t="s">
        <v>486</v>
      </c>
    </row>
    <row r="241" spans="1:9" x14ac:dyDescent="0.25">
      <c r="A241" s="2">
        <v>42513.791666666664</v>
      </c>
      <c r="B241" s="3" t="str">
        <f>"02210102016"</f>
        <v>02210102016</v>
      </c>
      <c r="C241" s="3" t="s">
        <v>124</v>
      </c>
      <c r="D241" s="3" t="s">
        <v>184</v>
      </c>
      <c r="E241" s="3" t="s">
        <v>100</v>
      </c>
      <c r="F241" s="9" t="s">
        <v>181</v>
      </c>
      <c r="G241" s="21" t="s">
        <v>431</v>
      </c>
      <c r="H241" s="21" t="s">
        <v>432</v>
      </c>
      <c r="I241" s="10"/>
    </row>
    <row r="242" spans="1:9" x14ac:dyDescent="0.25">
      <c r="A242" s="38">
        <v>42513.833333333336</v>
      </c>
      <c r="B242" s="39" t="str">
        <f>"02211104020"</f>
        <v>02211104020</v>
      </c>
      <c r="C242" s="39" t="s">
        <v>12</v>
      </c>
      <c r="D242" s="39" t="s">
        <v>305</v>
      </c>
      <c r="E242" s="39" t="s">
        <v>51</v>
      </c>
      <c r="F242" s="40" t="s">
        <v>132</v>
      </c>
      <c r="G242" s="34" t="s">
        <v>397</v>
      </c>
      <c r="H242" s="33" t="s">
        <v>398</v>
      </c>
      <c r="I242" s="42" t="s">
        <v>496</v>
      </c>
    </row>
    <row r="243" spans="1:9" hidden="1" x14ac:dyDescent="0.25">
      <c r="A243" s="2">
        <v>42513.833333333336</v>
      </c>
      <c r="B243" s="3" t="str">
        <f>"02120401055"</f>
        <v>02120401055</v>
      </c>
      <c r="C243" s="3" t="s">
        <v>20</v>
      </c>
      <c r="D243" s="3" t="s">
        <v>12</v>
      </c>
      <c r="E243" s="3" t="s">
        <v>21</v>
      </c>
      <c r="F243" s="3" t="s">
        <v>14</v>
      </c>
    </row>
    <row r="244" spans="1:9" x14ac:dyDescent="0.25">
      <c r="A244" s="38">
        <v>42514.708333333336</v>
      </c>
      <c r="B244" s="39" t="str">
        <f>"02208102015"</f>
        <v>02208102015</v>
      </c>
      <c r="C244" s="39" t="s">
        <v>120</v>
      </c>
      <c r="D244" s="39" t="s">
        <v>201</v>
      </c>
      <c r="E244" s="39" t="s">
        <v>100</v>
      </c>
      <c r="F244" s="40" t="s">
        <v>200</v>
      </c>
      <c r="G244" s="33" t="s">
        <v>427</v>
      </c>
      <c r="H244" s="33" t="s">
        <v>428</v>
      </c>
      <c r="I244" s="42" t="s">
        <v>496</v>
      </c>
    </row>
    <row r="245" spans="1:9" x14ac:dyDescent="0.25">
      <c r="A245" s="2">
        <v>42514.708333333336</v>
      </c>
      <c r="B245" s="3" t="str">
        <f>"02108105020"</f>
        <v>02108105020</v>
      </c>
      <c r="C245" s="3" t="s">
        <v>98</v>
      </c>
      <c r="D245" s="3" t="s">
        <v>197</v>
      </c>
      <c r="E245" s="3" t="s">
        <v>122</v>
      </c>
      <c r="F245" s="9" t="s">
        <v>114</v>
      </c>
      <c r="G245" s="16" t="s">
        <v>442</v>
      </c>
      <c r="H245" s="16" t="s">
        <v>443</v>
      </c>
      <c r="I245" s="10"/>
    </row>
    <row r="246" spans="1:9" x14ac:dyDescent="0.25">
      <c r="A246" s="2">
        <v>42514.75</v>
      </c>
      <c r="B246" s="3" t="str">
        <f>"02108105019"</f>
        <v>02108105019</v>
      </c>
      <c r="C246" s="3" t="s">
        <v>112</v>
      </c>
      <c r="D246" s="3" t="s">
        <v>202</v>
      </c>
      <c r="E246" s="3" t="s">
        <v>122</v>
      </c>
      <c r="F246" s="9" t="s">
        <v>114</v>
      </c>
      <c r="G246" s="21" t="s">
        <v>427</v>
      </c>
      <c r="H246" s="21" t="s">
        <v>428</v>
      </c>
      <c r="I246" s="10"/>
    </row>
    <row r="247" spans="1:9" hidden="1" x14ac:dyDescent="0.25">
      <c r="A247" s="2">
        <v>42514.75</v>
      </c>
      <c r="B247" s="3" t="str">
        <f>"02207101017"</f>
        <v>02207101017</v>
      </c>
      <c r="C247" s="3" t="s">
        <v>171</v>
      </c>
      <c r="D247" s="3" t="s">
        <v>120</v>
      </c>
      <c r="E247" s="3" t="s">
        <v>172</v>
      </c>
      <c r="F247" s="3" t="s">
        <v>123</v>
      </c>
    </row>
    <row r="248" spans="1:9" x14ac:dyDescent="0.25">
      <c r="A248" s="2">
        <v>42514.75</v>
      </c>
      <c r="B248" s="3" t="str">
        <f>"02208102016"</f>
        <v>02208102016</v>
      </c>
      <c r="C248" s="3" t="s">
        <v>124</v>
      </c>
      <c r="D248" s="3" t="s">
        <v>199</v>
      </c>
      <c r="E248" s="3" t="s">
        <v>100</v>
      </c>
      <c r="F248" s="9" t="s">
        <v>200</v>
      </c>
      <c r="G248" s="16" t="s">
        <v>419</v>
      </c>
      <c r="H248" s="12" t="s">
        <v>420</v>
      </c>
      <c r="I248" s="10"/>
    </row>
    <row r="249" spans="1:9" hidden="1" x14ac:dyDescent="0.25">
      <c r="A249" s="2">
        <v>42514.760416666664</v>
      </c>
      <c r="B249" s="3" t="str">
        <f>"02111101018"</f>
        <v>02111101018</v>
      </c>
      <c r="C249" s="3" t="s">
        <v>70</v>
      </c>
      <c r="D249" s="3" t="s">
        <v>12</v>
      </c>
      <c r="E249" s="3" t="s">
        <v>306</v>
      </c>
      <c r="F249" s="3" t="s">
        <v>134</v>
      </c>
    </row>
    <row r="250" spans="1:9" hidden="1" x14ac:dyDescent="0.25">
      <c r="A250" s="2">
        <v>42514.760416666664</v>
      </c>
      <c r="B250" s="3" t="str">
        <f>"02111109031"</f>
        <v>02111109031</v>
      </c>
      <c r="C250" s="3" t="s">
        <v>307</v>
      </c>
      <c r="D250" s="3" t="s">
        <v>62</v>
      </c>
      <c r="E250" s="3" t="s">
        <v>194</v>
      </c>
      <c r="F250" s="3" t="s">
        <v>64</v>
      </c>
    </row>
    <row r="251" spans="1:9" hidden="1" x14ac:dyDescent="0.25">
      <c r="A251" s="2">
        <v>42514.770833333336</v>
      </c>
      <c r="B251" s="3" t="str">
        <f>"02113701019"</f>
        <v>02113701019</v>
      </c>
      <c r="C251" s="3" t="s">
        <v>291</v>
      </c>
      <c r="D251" s="3" t="s">
        <v>109</v>
      </c>
      <c r="E251" s="3" t="s">
        <v>250</v>
      </c>
      <c r="F251" s="3" t="s">
        <v>131</v>
      </c>
    </row>
    <row r="252" spans="1:9" x14ac:dyDescent="0.25">
      <c r="A252" s="2">
        <v>42514.791666666664</v>
      </c>
      <c r="B252" s="3" t="str">
        <f>"02112105021"</f>
        <v>02112105021</v>
      </c>
      <c r="C252" s="3" t="s">
        <v>12</v>
      </c>
      <c r="D252" s="3" t="s">
        <v>63</v>
      </c>
      <c r="E252" s="3" t="s">
        <v>51</v>
      </c>
      <c r="F252" s="9" t="s">
        <v>79</v>
      </c>
      <c r="G252" s="16" t="s">
        <v>412</v>
      </c>
      <c r="H252" s="12" t="s">
        <v>413</v>
      </c>
      <c r="I252" s="10"/>
    </row>
    <row r="253" spans="1:9" hidden="1" x14ac:dyDescent="0.25">
      <c r="A253" s="2">
        <v>42514.791666666664</v>
      </c>
      <c r="B253" s="3" t="str">
        <f>"02207101018"</f>
        <v>02207101018</v>
      </c>
      <c r="C253" s="3" t="s">
        <v>198</v>
      </c>
      <c r="D253" s="3" t="s">
        <v>124</v>
      </c>
      <c r="E253" s="3" t="s">
        <v>172</v>
      </c>
      <c r="F253" s="3" t="s">
        <v>123</v>
      </c>
    </row>
    <row r="254" spans="1:9" x14ac:dyDescent="0.25">
      <c r="A254" s="2">
        <v>42515.708333333336</v>
      </c>
      <c r="B254" s="3" t="str">
        <f>"02110115019"</f>
        <v>02110115019</v>
      </c>
      <c r="C254" s="3" t="s">
        <v>98</v>
      </c>
      <c r="D254" s="3" t="s">
        <v>309</v>
      </c>
      <c r="E254" s="3" t="s">
        <v>100</v>
      </c>
      <c r="F254" s="9" t="s">
        <v>156</v>
      </c>
      <c r="G254" s="16" t="s">
        <v>418</v>
      </c>
      <c r="H254" s="12">
        <v>92096292</v>
      </c>
      <c r="I254" s="10"/>
    </row>
    <row r="255" spans="1:9" x14ac:dyDescent="0.25">
      <c r="A255" s="2">
        <v>42515.75</v>
      </c>
      <c r="B255" s="3" t="s">
        <v>474</v>
      </c>
      <c r="C255" s="3" t="s">
        <v>112</v>
      </c>
      <c r="D255" s="3" t="s">
        <v>475</v>
      </c>
      <c r="E255" s="3" t="s">
        <v>122</v>
      </c>
      <c r="F255" s="9" t="s">
        <v>460</v>
      </c>
      <c r="G255" s="16"/>
      <c r="H255" s="12"/>
      <c r="I255" s="10"/>
    </row>
    <row r="256" spans="1:9" x14ac:dyDescent="0.25">
      <c r="A256" s="2">
        <v>42515.75</v>
      </c>
      <c r="B256" s="3" t="str">
        <f>"02109105020"</f>
        <v>02109105020</v>
      </c>
      <c r="C256" s="3" t="s">
        <v>98</v>
      </c>
      <c r="D256" s="3" t="s">
        <v>121</v>
      </c>
      <c r="E256" s="3" t="s">
        <v>100</v>
      </c>
      <c r="F256" s="9" t="s">
        <v>170</v>
      </c>
      <c r="G256" s="21" t="s">
        <v>450</v>
      </c>
      <c r="H256" s="21" t="s">
        <v>451</v>
      </c>
      <c r="I256" s="10"/>
    </row>
    <row r="257" spans="1:9" hidden="1" x14ac:dyDescent="0.25">
      <c r="A257" s="2">
        <v>42515.75</v>
      </c>
      <c r="B257" s="3" t="str">
        <f>"02209102018"</f>
        <v>02209102018</v>
      </c>
      <c r="C257" s="3" t="s">
        <v>218</v>
      </c>
      <c r="D257" s="3" t="s">
        <v>124</v>
      </c>
      <c r="E257" s="3" t="s">
        <v>211</v>
      </c>
      <c r="F257" s="3" t="s">
        <v>158</v>
      </c>
    </row>
    <row r="258" spans="1:9" hidden="1" x14ac:dyDescent="0.25">
      <c r="A258" s="2">
        <v>42515.760416666664</v>
      </c>
      <c r="B258" s="3" t="str">
        <f>"02111111017"</f>
        <v>02111111017</v>
      </c>
      <c r="C258" s="3" t="s">
        <v>246</v>
      </c>
      <c r="D258" s="3" t="s">
        <v>25</v>
      </c>
      <c r="E258" s="3" t="s">
        <v>310</v>
      </c>
      <c r="F258" s="3" t="s">
        <v>167</v>
      </c>
    </row>
    <row r="259" spans="1:9" hidden="1" x14ac:dyDescent="0.25">
      <c r="A259" s="2">
        <v>42515.770833333336</v>
      </c>
      <c r="B259" s="3" t="str">
        <f>"02213301052"</f>
        <v>02213301052</v>
      </c>
      <c r="C259" s="3" t="s">
        <v>277</v>
      </c>
      <c r="D259" s="3" t="s">
        <v>32</v>
      </c>
      <c r="E259" s="3" t="s">
        <v>278</v>
      </c>
      <c r="F259" s="3" t="s">
        <v>35</v>
      </c>
    </row>
    <row r="260" spans="1:9" hidden="1" x14ac:dyDescent="0.25">
      <c r="A260" s="2">
        <v>42515.791666666664</v>
      </c>
      <c r="B260" s="3" t="str">
        <f>"02209102017"</f>
        <v>02209102017</v>
      </c>
      <c r="C260" s="3" t="s">
        <v>210</v>
      </c>
      <c r="D260" s="3" t="s">
        <v>120</v>
      </c>
      <c r="E260" s="3" t="s">
        <v>211</v>
      </c>
      <c r="F260" s="3" t="s">
        <v>158</v>
      </c>
    </row>
    <row r="261" spans="1:9" x14ac:dyDescent="0.25">
      <c r="A261" s="2">
        <v>42515.791666666664</v>
      </c>
      <c r="B261" s="3" t="str">
        <f>"02209105020"</f>
        <v>02209105020</v>
      </c>
      <c r="C261" s="3" t="s">
        <v>98</v>
      </c>
      <c r="D261" s="3" t="s">
        <v>311</v>
      </c>
      <c r="E261" s="3" t="s">
        <v>122</v>
      </c>
      <c r="F261" s="9" t="s">
        <v>101</v>
      </c>
      <c r="G261" s="16" t="s">
        <v>421</v>
      </c>
      <c r="H261" s="20" t="s">
        <v>422</v>
      </c>
      <c r="I261" s="10"/>
    </row>
    <row r="262" spans="1:9" x14ac:dyDescent="0.25">
      <c r="A262" s="2">
        <v>42515.791666666664</v>
      </c>
      <c r="B262" s="3" t="str">
        <f>"02109105019"</f>
        <v>02109105019</v>
      </c>
      <c r="C262" s="3" t="s">
        <v>112</v>
      </c>
      <c r="D262" s="3" t="s">
        <v>125</v>
      </c>
      <c r="E262" s="3" t="s">
        <v>100</v>
      </c>
      <c r="F262" s="9" t="s">
        <v>170</v>
      </c>
      <c r="G262" s="16" t="s">
        <v>430</v>
      </c>
      <c r="H262" s="12" t="s">
        <v>434</v>
      </c>
      <c r="I262" s="10"/>
    </row>
    <row r="263" spans="1:9" ht="26.25" hidden="1" x14ac:dyDescent="0.25">
      <c r="A263" s="2">
        <v>42515.8125</v>
      </c>
      <c r="B263" s="3" t="str">
        <f>"02212101033"</f>
        <v>02212101033</v>
      </c>
      <c r="C263" s="3" t="s">
        <v>196</v>
      </c>
      <c r="D263" s="3" t="s">
        <v>12</v>
      </c>
      <c r="E263" s="3" t="s">
        <v>312</v>
      </c>
      <c r="F263" s="3" t="s">
        <v>96</v>
      </c>
    </row>
    <row r="264" spans="1:9" hidden="1" x14ac:dyDescent="0.25">
      <c r="A264" s="2">
        <v>42515.8125</v>
      </c>
      <c r="B264" s="3" t="str">
        <f>"02212102032"</f>
        <v>02212102032</v>
      </c>
      <c r="C264" s="3" t="s">
        <v>13</v>
      </c>
      <c r="D264" s="3" t="s">
        <v>9</v>
      </c>
      <c r="E264" s="3" t="s">
        <v>216</v>
      </c>
      <c r="F264" s="3" t="s">
        <v>71</v>
      </c>
    </row>
    <row r="265" spans="1:9" hidden="1" x14ac:dyDescent="0.25">
      <c r="A265" s="2">
        <v>42515.822916666664</v>
      </c>
      <c r="B265" s="3" t="str">
        <f>"02111108032"</f>
        <v>02111108032</v>
      </c>
      <c r="C265" s="3" t="s">
        <v>313</v>
      </c>
      <c r="D265" s="3" t="s">
        <v>50</v>
      </c>
      <c r="E265" s="3" t="s">
        <v>282</v>
      </c>
      <c r="F265" s="3" t="s">
        <v>52</v>
      </c>
    </row>
    <row r="266" spans="1:9" x14ac:dyDescent="0.25">
      <c r="A266" s="2">
        <v>42515.833333333336</v>
      </c>
      <c r="B266" s="3" t="str">
        <f>"02112107036"</f>
        <v>02112107036</v>
      </c>
      <c r="C266" s="3" t="s">
        <v>9</v>
      </c>
      <c r="D266" s="3" t="s">
        <v>93</v>
      </c>
      <c r="E266" s="3" t="s">
        <v>51</v>
      </c>
      <c r="F266" s="9" t="s">
        <v>69</v>
      </c>
      <c r="G266" s="16" t="s">
        <v>399</v>
      </c>
      <c r="H266" s="17">
        <v>41385568</v>
      </c>
      <c r="I266" s="10"/>
    </row>
    <row r="267" spans="1:9" ht="26.25" hidden="1" x14ac:dyDescent="0.25">
      <c r="A267" s="2">
        <v>42515.84375</v>
      </c>
      <c r="B267" s="3" t="str">
        <f>"02220702025"</f>
        <v>02220702025</v>
      </c>
      <c r="C267" s="3" t="s">
        <v>59</v>
      </c>
      <c r="D267" s="3" t="s">
        <v>12</v>
      </c>
      <c r="E267" s="3" t="s">
        <v>314</v>
      </c>
      <c r="F267" s="3" t="s">
        <v>138</v>
      </c>
    </row>
    <row r="268" spans="1:9" x14ac:dyDescent="0.25">
      <c r="A268" s="2">
        <v>42516.708333333336</v>
      </c>
      <c r="B268" s="3" t="str">
        <f>"02110114020"</f>
        <v>02110114020</v>
      </c>
      <c r="C268" s="3" t="s">
        <v>112</v>
      </c>
      <c r="D268" s="3" t="s">
        <v>315</v>
      </c>
      <c r="E268" s="3" t="s">
        <v>100</v>
      </c>
      <c r="F268" s="9" t="s">
        <v>143</v>
      </c>
      <c r="G268" s="21" t="s">
        <v>452</v>
      </c>
      <c r="H268" s="21" t="s">
        <v>453</v>
      </c>
      <c r="I268" s="10"/>
    </row>
    <row r="269" spans="1:9" x14ac:dyDescent="0.25">
      <c r="A269" s="2">
        <v>42516.75</v>
      </c>
      <c r="B269" s="3" t="str">
        <f>"02109106018"</f>
        <v>02109106018</v>
      </c>
      <c r="C269" s="3" t="s">
        <v>120</v>
      </c>
      <c r="D269" s="3" t="s">
        <v>174</v>
      </c>
      <c r="E269" s="3" t="s">
        <v>100</v>
      </c>
      <c r="F269" s="9" t="s">
        <v>173</v>
      </c>
      <c r="G269" s="21"/>
      <c r="H269" s="21"/>
      <c r="I269" s="10"/>
    </row>
    <row r="270" spans="1:9" ht="26.25" hidden="1" x14ac:dyDescent="0.25">
      <c r="A270" s="2">
        <v>42516.791666666664</v>
      </c>
      <c r="B270" s="3" t="str">
        <f>"02113912018"</f>
        <v>02113912018</v>
      </c>
      <c r="C270" s="3" t="s">
        <v>185</v>
      </c>
      <c r="D270" s="3" t="s">
        <v>12</v>
      </c>
      <c r="E270" s="3" t="s">
        <v>316</v>
      </c>
      <c r="F270" s="3" t="s">
        <v>85</v>
      </c>
    </row>
    <row r="271" spans="1:9" hidden="1" x14ac:dyDescent="0.25">
      <c r="A271" s="2">
        <v>42516.791666666664</v>
      </c>
      <c r="B271" s="3" t="str">
        <f>"02210102017"</f>
        <v>02210102017</v>
      </c>
      <c r="C271" s="3" t="s">
        <v>171</v>
      </c>
      <c r="D271" s="3" t="s">
        <v>120</v>
      </c>
      <c r="E271" s="3" t="s">
        <v>172</v>
      </c>
      <c r="F271" s="3" t="s">
        <v>181</v>
      </c>
    </row>
    <row r="272" spans="1:9" ht="26.25" hidden="1" x14ac:dyDescent="0.25">
      <c r="A272" s="2">
        <v>42516.791666666664</v>
      </c>
      <c r="B272" s="3" t="str">
        <f>"02114941020"</f>
        <v>02114941020</v>
      </c>
      <c r="C272" s="3" t="s">
        <v>204</v>
      </c>
      <c r="D272" s="3" t="s">
        <v>62</v>
      </c>
      <c r="E272" s="3" t="s">
        <v>245</v>
      </c>
      <c r="F272" s="3" t="s">
        <v>129</v>
      </c>
    </row>
    <row r="273" spans="1:9" x14ac:dyDescent="0.25">
      <c r="A273" s="2">
        <v>42516.791666666664</v>
      </c>
      <c r="B273" s="3" t="str">
        <f>"02109106017"</f>
        <v>02109106017</v>
      </c>
      <c r="C273" s="3" t="s">
        <v>124</v>
      </c>
      <c r="D273" s="3" t="s">
        <v>178</v>
      </c>
      <c r="E273" s="3" t="s">
        <v>100</v>
      </c>
      <c r="F273" s="9" t="s">
        <v>173</v>
      </c>
      <c r="G273" s="21" t="s">
        <v>445</v>
      </c>
      <c r="H273" s="12" t="s">
        <v>446</v>
      </c>
      <c r="I273" s="34" t="s">
        <v>406</v>
      </c>
    </row>
    <row r="274" spans="1:9" hidden="1" x14ac:dyDescent="0.25">
      <c r="A274" s="2">
        <v>42516.833333333336</v>
      </c>
      <c r="B274" s="3" t="str">
        <f>"02210102018"</f>
        <v>02210102018</v>
      </c>
      <c r="C274" s="3" t="s">
        <v>198</v>
      </c>
      <c r="D274" s="3" t="s">
        <v>124</v>
      </c>
      <c r="E274" s="3" t="s">
        <v>172</v>
      </c>
      <c r="F274" s="3" t="s">
        <v>181</v>
      </c>
    </row>
    <row r="275" spans="1:9" x14ac:dyDescent="0.25">
      <c r="A275" s="2">
        <v>42516.84375</v>
      </c>
      <c r="B275" s="3" t="str">
        <f>"02111103020"</f>
        <v>02111103020</v>
      </c>
      <c r="C275" s="3" t="s">
        <v>109</v>
      </c>
      <c r="D275" s="3" t="s">
        <v>317</v>
      </c>
      <c r="E275" s="3" t="s">
        <v>51</v>
      </c>
      <c r="F275" s="9" t="s">
        <v>110</v>
      </c>
      <c r="G275" s="16" t="s">
        <v>406</v>
      </c>
      <c r="H275" s="12" t="s">
        <v>407</v>
      </c>
      <c r="I275" s="10"/>
    </row>
    <row r="276" spans="1:9" hidden="1" x14ac:dyDescent="0.25">
      <c r="A276" s="2">
        <v>42516.84375</v>
      </c>
      <c r="B276" s="3" t="str">
        <f>"02116301033"</f>
        <v>02116301033</v>
      </c>
      <c r="C276" s="3" t="s">
        <v>318</v>
      </c>
      <c r="D276" s="3" t="s">
        <v>87</v>
      </c>
      <c r="E276" s="3" t="s">
        <v>319</v>
      </c>
      <c r="F276" s="3" t="s">
        <v>89</v>
      </c>
    </row>
    <row r="277" spans="1:9" hidden="1" x14ac:dyDescent="0.25">
      <c r="A277" s="2">
        <v>42516.84375</v>
      </c>
      <c r="B277" s="3" t="str">
        <f>"02120972013"</f>
        <v>02120972013</v>
      </c>
      <c r="C277" s="3" t="s">
        <v>80</v>
      </c>
      <c r="D277" s="3" t="s">
        <v>25</v>
      </c>
      <c r="E277" s="3" t="s">
        <v>81</v>
      </c>
      <c r="F277" s="3" t="s">
        <v>220</v>
      </c>
    </row>
    <row r="278" spans="1:9" hidden="1" x14ac:dyDescent="0.25">
      <c r="A278" s="2">
        <v>42517.708333333336</v>
      </c>
      <c r="B278" s="3" t="str">
        <f>"02108102017"</f>
        <v>02108102017</v>
      </c>
      <c r="C278" s="3" t="s">
        <v>174</v>
      </c>
      <c r="D278" s="3" t="s">
        <v>120</v>
      </c>
      <c r="E278" s="3" t="s">
        <v>320</v>
      </c>
      <c r="F278" s="3" t="s">
        <v>140</v>
      </c>
    </row>
    <row r="279" spans="1:9" x14ac:dyDescent="0.25">
      <c r="A279" s="2">
        <v>42517.708333333336</v>
      </c>
      <c r="B279" s="3" t="str">
        <f>"02107101019"</f>
        <v>02107101019</v>
      </c>
      <c r="C279" s="3" t="s">
        <v>124</v>
      </c>
      <c r="D279" s="3" t="s">
        <v>207</v>
      </c>
      <c r="E279" s="3" t="s">
        <v>100</v>
      </c>
      <c r="F279" s="9" t="s">
        <v>153</v>
      </c>
      <c r="G279" s="16" t="s">
        <v>423</v>
      </c>
      <c r="H279" s="12" t="s">
        <v>424</v>
      </c>
      <c r="I279" s="10"/>
    </row>
    <row r="280" spans="1:9" x14ac:dyDescent="0.25">
      <c r="A280" s="2">
        <v>42517.75</v>
      </c>
      <c r="B280" s="3" t="str">
        <f>"02107101020"</f>
        <v>02107101020</v>
      </c>
      <c r="C280" s="3" t="s">
        <v>120</v>
      </c>
      <c r="D280" s="3" t="s">
        <v>212</v>
      </c>
      <c r="E280" s="3" t="s">
        <v>100</v>
      </c>
      <c r="F280" s="9" t="s">
        <v>153</v>
      </c>
      <c r="G280" s="21" t="s">
        <v>448</v>
      </c>
      <c r="H280" s="20" t="s">
        <v>449</v>
      </c>
      <c r="I280" s="10"/>
    </row>
    <row r="281" spans="1:9" hidden="1" x14ac:dyDescent="0.25">
      <c r="A281" s="2">
        <v>42517.75</v>
      </c>
      <c r="B281" s="3" t="str">
        <f>"02108102018"</f>
        <v>02108102018</v>
      </c>
      <c r="C281" s="3" t="s">
        <v>178</v>
      </c>
      <c r="D281" s="3" t="s">
        <v>124</v>
      </c>
      <c r="E281" s="3" t="s">
        <v>320</v>
      </c>
      <c r="F281" s="3" t="s">
        <v>140</v>
      </c>
    </row>
    <row r="282" spans="1:9" ht="26.25" hidden="1" x14ac:dyDescent="0.25">
      <c r="A282" s="2">
        <v>42517.833333333336</v>
      </c>
      <c r="B282" s="3" t="str">
        <f>"02113921035"</f>
        <v>02113921035</v>
      </c>
      <c r="C282" s="3" t="s">
        <v>321</v>
      </c>
      <c r="D282" s="3" t="s">
        <v>25</v>
      </c>
      <c r="E282" s="3" t="s">
        <v>75</v>
      </c>
      <c r="F282" s="3" t="s">
        <v>56</v>
      </c>
    </row>
    <row r="283" spans="1:9" hidden="1" x14ac:dyDescent="0.25">
      <c r="A283" s="2">
        <v>42517.84375</v>
      </c>
      <c r="B283" s="3" t="str">
        <f>"02119202050"</f>
        <v>02119202050</v>
      </c>
      <c r="C283" s="3" t="s">
        <v>307</v>
      </c>
      <c r="D283" s="3" t="s">
        <v>9</v>
      </c>
      <c r="E283" s="3" t="s">
        <v>225</v>
      </c>
      <c r="F283" s="3" t="s">
        <v>11</v>
      </c>
    </row>
    <row r="284" spans="1:9" hidden="1" x14ac:dyDescent="0.25">
      <c r="A284" s="2">
        <v>42518.458333333336</v>
      </c>
      <c r="B284" s="3" t="str">
        <f>"02110112019"</f>
        <v>02110112019</v>
      </c>
      <c r="C284" s="3" t="s">
        <v>214</v>
      </c>
      <c r="D284" s="3" t="s">
        <v>124</v>
      </c>
      <c r="E284" s="3" t="s">
        <v>322</v>
      </c>
      <c r="F284" s="3" t="s">
        <v>175</v>
      </c>
    </row>
    <row r="285" spans="1:9" hidden="1" x14ac:dyDescent="0.25">
      <c r="A285" s="2">
        <v>42518.5</v>
      </c>
      <c r="B285" s="3" t="str">
        <f>"02108108018"</f>
        <v>02108108018</v>
      </c>
      <c r="C285" s="3" t="s">
        <v>213</v>
      </c>
      <c r="D285" s="3" t="s">
        <v>148</v>
      </c>
      <c r="E285" s="3" t="s">
        <v>209</v>
      </c>
      <c r="F285" s="3" t="s">
        <v>150</v>
      </c>
    </row>
    <row r="286" spans="1:9" hidden="1" x14ac:dyDescent="0.25">
      <c r="A286" s="2">
        <v>42518.5</v>
      </c>
      <c r="B286" s="3" t="str">
        <f>"02110112020"</f>
        <v>02110112020</v>
      </c>
      <c r="C286" s="3" t="s">
        <v>217</v>
      </c>
      <c r="D286" s="3" t="s">
        <v>120</v>
      </c>
      <c r="E286" s="3" t="s">
        <v>322</v>
      </c>
      <c r="F286" s="3" t="s">
        <v>175</v>
      </c>
    </row>
    <row r="287" spans="1:9" hidden="1" x14ac:dyDescent="0.25">
      <c r="A287" s="2">
        <v>42518.541666666664</v>
      </c>
      <c r="B287" s="3" t="str">
        <f>"02108108017"</f>
        <v>02108108017</v>
      </c>
      <c r="C287" s="3" t="s">
        <v>208</v>
      </c>
      <c r="D287" s="3" t="s">
        <v>160</v>
      </c>
      <c r="E287" s="3" t="s">
        <v>209</v>
      </c>
      <c r="F287" s="3" t="s">
        <v>150</v>
      </c>
    </row>
    <row r="288" spans="1:9" hidden="1" x14ac:dyDescent="0.25">
      <c r="A288" s="2">
        <v>42518.59375</v>
      </c>
      <c r="B288" s="3" t="str">
        <f>"02113932017"</f>
        <v>02113932017</v>
      </c>
      <c r="C288" s="3" t="s">
        <v>323</v>
      </c>
      <c r="D288" s="3" t="s">
        <v>62</v>
      </c>
      <c r="E288" s="3" t="s">
        <v>205</v>
      </c>
      <c r="F288" s="3" t="s">
        <v>183</v>
      </c>
    </row>
    <row r="289" spans="1:9" x14ac:dyDescent="0.25">
      <c r="A289" s="2">
        <v>42519.541666666664</v>
      </c>
      <c r="B289" s="3" t="str">
        <f>"02111109038"</f>
        <v>02111109038</v>
      </c>
      <c r="C289" s="3" t="s">
        <v>62</v>
      </c>
      <c r="D289" s="3" t="s">
        <v>182</v>
      </c>
      <c r="E289" s="3" t="s">
        <v>51</v>
      </c>
      <c r="F289" s="9" t="s">
        <v>64</v>
      </c>
      <c r="G289" s="16" t="s">
        <v>402</v>
      </c>
      <c r="H289" s="12" t="s">
        <v>403</v>
      </c>
      <c r="I289" s="10"/>
    </row>
    <row r="290" spans="1:9" hidden="1" x14ac:dyDescent="0.25">
      <c r="A290" s="2">
        <v>42519.708333333336</v>
      </c>
      <c r="B290" s="3" t="str">
        <f>"02114941062"</f>
        <v>02114941062</v>
      </c>
      <c r="C290" s="3" t="s">
        <v>226</v>
      </c>
      <c r="D290" s="3" t="s">
        <v>62</v>
      </c>
      <c r="E290" s="3" t="s">
        <v>54</v>
      </c>
      <c r="F290" s="3" t="s">
        <v>129</v>
      </c>
    </row>
    <row r="291" spans="1:9" x14ac:dyDescent="0.25">
      <c r="A291" s="2">
        <v>42520.708333333336</v>
      </c>
      <c r="B291" s="3" t="str">
        <f>"02209102021"</f>
        <v>02209102021</v>
      </c>
      <c r="C291" s="3" t="s">
        <v>124</v>
      </c>
      <c r="D291" s="3" t="s">
        <v>254</v>
      </c>
      <c r="E291" s="3" t="s">
        <v>100</v>
      </c>
      <c r="F291" s="9" t="s">
        <v>158</v>
      </c>
      <c r="G291" s="16" t="s">
        <v>393</v>
      </c>
      <c r="H291" s="12" t="s">
        <v>394</v>
      </c>
      <c r="I291" s="10"/>
    </row>
    <row r="292" spans="1:9" hidden="1" x14ac:dyDescent="0.25">
      <c r="A292" s="2">
        <v>42520.708333333336</v>
      </c>
      <c r="B292" s="3" t="str">
        <f>"02107101024"</f>
        <v>02107101024</v>
      </c>
      <c r="C292" s="3" t="s">
        <v>233</v>
      </c>
      <c r="D292" s="3" t="s">
        <v>120</v>
      </c>
      <c r="E292" s="3" t="s">
        <v>237</v>
      </c>
      <c r="F292" s="3" t="s">
        <v>153</v>
      </c>
    </row>
    <row r="293" spans="1:9" x14ac:dyDescent="0.25">
      <c r="A293" s="2">
        <v>42520.708333333336</v>
      </c>
      <c r="B293" s="3" t="str">
        <f>"02107114021"</f>
        <v>02107114021</v>
      </c>
      <c r="C293" s="3" t="s">
        <v>98</v>
      </c>
      <c r="D293" s="3" t="s">
        <v>116</v>
      </c>
      <c r="E293" s="3" t="s">
        <v>122</v>
      </c>
      <c r="F293" s="9" t="s">
        <v>164</v>
      </c>
      <c r="G293" s="21" t="s">
        <v>456</v>
      </c>
      <c r="H293" s="21" t="s">
        <v>457</v>
      </c>
      <c r="I293" s="10"/>
    </row>
    <row r="294" spans="1:9" x14ac:dyDescent="0.25">
      <c r="A294" s="2">
        <v>42520.75</v>
      </c>
      <c r="B294" s="3" t="str">
        <f>"02209102022"</f>
        <v>02209102022</v>
      </c>
      <c r="C294" s="3" t="s">
        <v>120</v>
      </c>
      <c r="D294" s="3" t="s">
        <v>248</v>
      </c>
      <c r="E294" s="3" t="s">
        <v>100</v>
      </c>
      <c r="F294" s="9" t="s">
        <v>158</v>
      </c>
      <c r="G294" s="21" t="s">
        <v>436</v>
      </c>
      <c r="H294" s="21" t="s">
        <v>437</v>
      </c>
      <c r="I294" s="10"/>
    </row>
    <row r="295" spans="1:9" hidden="1" x14ac:dyDescent="0.25">
      <c r="A295" s="2">
        <v>42520.75</v>
      </c>
      <c r="B295" s="3" t="str">
        <f>"02107101023"</f>
        <v>02107101023</v>
      </c>
      <c r="C295" s="3" t="s">
        <v>230</v>
      </c>
      <c r="D295" s="3" t="s">
        <v>124</v>
      </c>
      <c r="E295" s="3" t="s">
        <v>237</v>
      </c>
      <c r="F295" s="3" t="s">
        <v>153</v>
      </c>
    </row>
    <row r="296" spans="1:9" x14ac:dyDescent="0.25">
      <c r="A296" s="2">
        <v>42520.75</v>
      </c>
      <c r="B296" s="3" t="str">
        <f>"02207103023"</f>
        <v>02207103023</v>
      </c>
      <c r="C296" s="3" t="s">
        <v>98</v>
      </c>
      <c r="D296" s="3" t="s">
        <v>324</v>
      </c>
      <c r="E296" s="3" t="s">
        <v>122</v>
      </c>
      <c r="F296" s="9" t="s">
        <v>127</v>
      </c>
      <c r="G296" s="21"/>
      <c r="H296" s="21"/>
      <c r="I296" s="10"/>
    </row>
    <row r="297" spans="1:9" x14ac:dyDescent="0.25">
      <c r="A297" s="2">
        <v>42520.791666666664</v>
      </c>
      <c r="B297" s="3" t="str">
        <f>"02211104024"</f>
        <v>02211104024</v>
      </c>
      <c r="C297" s="3" t="s">
        <v>12</v>
      </c>
      <c r="D297" s="3" t="s">
        <v>53</v>
      </c>
      <c r="E297" s="3" t="s">
        <v>51</v>
      </c>
      <c r="F297" s="9" t="s">
        <v>132</v>
      </c>
      <c r="G297" s="16" t="s">
        <v>397</v>
      </c>
      <c r="H297" s="12" t="s">
        <v>398</v>
      </c>
      <c r="I297" s="10"/>
    </row>
    <row r="298" spans="1:9" x14ac:dyDescent="0.25">
      <c r="A298" s="2">
        <v>42520.84375</v>
      </c>
      <c r="B298" s="3" t="str">
        <f>"02111103024"</f>
        <v>02111103024</v>
      </c>
      <c r="C298" s="3" t="s">
        <v>109</v>
      </c>
      <c r="D298" s="3" t="s">
        <v>137</v>
      </c>
      <c r="E298" s="3" t="s">
        <v>51</v>
      </c>
      <c r="F298" s="9" t="s">
        <v>110</v>
      </c>
      <c r="G298" s="16" t="s">
        <v>400</v>
      </c>
      <c r="H298" s="12" t="s">
        <v>401</v>
      </c>
      <c r="I298" s="10"/>
    </row>
    <row r="299" spans="1:9" hidden="1" x14ac:dyDescent="0.25">
      <c r="A299" s="2">
        <v>42521.708333333336</v>
      </c>
      <c r="B299" s="3" t="str">
        <f>"02208102017"</f>
        <v>02208102017</v>
      </c>
      <c r="C299" s="3" t="s">
        <v>240</v>
      </c>
      <c r="D299" s="3" t="s">
        <v>120</v>
      </c>
      <c r="E299" s="3" t="s">
        <v>237</v>
      </c>
      <c r="F299" s="3" t="s">
        <v>200</v>
      </c>
    </row>
    <row r="300" spans="1:9" x14ac:dyDescent="0.25">
      <c r="A300" s="2">
        <v>42521.708333333336</v>
      </c>
      <c r="B300" s="3" t="str">
        <f>"02207101021"</f>
        <v>02207101021</v>
      </c>
      <c r="C300" s="3" t="s">
        <v>124</v>
      </c>
      <c r="D300" s="3" t="s">
        <v>241</v>
      </c>
      <c r="E300" s="3" t="s">
        <v>100</v>
      </c>
      <c r="F300" s="9" t="s">
        <v>123</v>
      </c>
      <c r="G300" s="21"/>
      <c r="H300" s="21"/>
      <c r="I300" s="10"/>
    </row>
    <row r="301" spans="1:9" hidden="1" x14ac:dyDescent="0.25">
      <c r="A301" s="2">
        <v>42521.708333333336</v>
      </c>
      <c r="B301" s="3" t="str">
        <f>"02108105024"</f>
        <v>02108105024</v>
      </c>
      <c r="C301" s="3" t="s">
        <v>235</v>
      </c>
      <c r="D301" s="3" t="s">
        <v>98</v>
      </c>
      <c r="E301" s="3" t="s">
        <v>249</v>
      </c>
      <c r="F301" s="3" t="s">
        <v>114</v>
      </c>
    </row>
    <row r="302" spans="1:9" x14ac:dyDescent="0.25">
      <c r="A302" s="2">
        <v>42521.708333333336</v>
      </c>
      <c r="B302" s="3" t="str">
        <f>"02108108022"</f>
        <v>02108108022</v>
      </c>
      <c r="C302" s="3" t="s">
        <v>160</v>
      </c>
      <c r="D302" s="3" t="s">
        <v>257</v>
      </c>
      <c r="E302" s="3" t="s">
        <v>122</v>
      </c>
      <c r="F302" s="9" t="s">
        <v>150</v>
      </c>
      <c r="G302" s="21"/>
      <c r="H302" s="21"/>
      <c r="I302" s="10"/>
    </row>
    <row r="303" spans="1:9" x14ac:dyDescent="0.25">
      <c r="A303" s="2">
        <v>42521.75</v>
      </c>
      <c r="B303" s="3" t="str">
        <f>"02207101022"</f>
        <v>02207101022</v>
      </c>
      <c r="C303" s="3" t="s">
        <v>120</v>
      </c>
      <c r="D303" s="3" t="s">
        <v>238</v>
      </c>
      <c r="E303" s="3" t="s">
        <v>100</v>
      </c>
      <c r="F303" s="9" t="s">
        <v>123</v>
      </c>
      <c r="G303" s="21"/>
      <c r="H303" s="21"/>
      <c r="I303" s="10"/>
    </row>
    <row r="304" spans="1:9" hidden="1" x14ac:dyDescent="0.25">
      <c r="A304" s="2">
        <v>42521.75</v>
      </c>
      <c r="B304" s="3" t="str">
        <f>"02108105023"</f>
        <v>02108105023</v>
      </c>
      <c r="C304" s="3" t="s">
        <v>154</v>
      </c>
      <c r="D304" s="3" t="s">
        <v>112</v>
      </c>
      <c r="E304" s="3" t="s">
        <v>249</v>
      </c>
      <c r="F304" s="3" t="s">
        <v>114</v>
      </c>
    </row>
    <row r="305" spans="1:10" x14ac:dyDescent="0.25">
      <c r="A305" s="2">
        <v>42521.75</v>
      </c>
      <c r="B305" s="3" t="str">
        <f>"02108108021"</f>
        <v>02108108021</v>
      </c>
      <c r="C305" s="3" t="s">
        <v>148</v>
      </c>
      <c r="D305" s="3" t="s">
        <v>261</v>
      </c>
      <c r="E305" s="3" t="s">
        <v>122</v>
      </c>
      <c r="F305" s="9" t="s">
        <v>150</v>
      </c>
      <c r="G305" s="10" t="s">
        <v>489</v>
      </c>
      <c r="H305" s="32" t="s">
        <v>492</v>
      </c>
      <c r="I305" s="10"/>
    </row>
    <row r="306" spans="1:10" hidden="1" x14ac:dyDescent="0.25">
      <c r="A306" s="2">
        <v>42521.75</v>
      </c>
      <c r="B306" s="3" t="str">
        <f>"02208102018"</f>
        <v>02208102018</v>
      </c>
      <c r="C306" s="3" t="s">
        <v>236</v>
      </c>
      <c r="D306" s="3" t="s">
        <v>124</v>
      </c>
      <c r="E306" s="3" t="s">
        <v>237</v>
      </c>
      <c r="F306" s="3" t="s">
        <v>200</v>
      </c>
    </row>
    <row r="307" spans="1:10" hidden="1" x14ac:dyDescent="0.25">
      <c r="A307" s="2">
        <v>42521.770833333336</v>
      </c>
      <c r="B307" s="3" t="str">
        <f>"02214101060"</f>
        <v>02214101060</v>
      </c>
      <c r="C307" s="3" t="s">
        <v>108</v>
      </c>
      <c r="D307" s="3" t="s">
        <v>12</v>
      </c>
      <c r="E307" s="3" t="s">
        <v>325</v>
      </c>
      <c r="F307" s="3" t="s">
        <v>41</v>
      </c>
    </row>
    <row r="308" spans="1:10" hidden="1" x14ac:dyDescent="0.25">
      <c r="A308" s="2">
        <v>42521.770833333336</v>
      </c>
      <c r="B308" s="3" t="str">
        <f>"02120601050"</f>
        <v>02120601050</v>
      </c>
      <c r="C308" s="3" t="s">
        <v>28</v>
      </c>
      <c r="D308" s="3" t="s">
        <v>9</v>
      </c>
      <c r="E308" s="3" t="s">
        <v>326</v>
      </c>
      <c r="F308" s="3" t="s">
        <v>31</v>
      </c>
    </row>
    <row r="309" spans="1:10" hidden="1" x14ac:dyDescent="0.25">
      <c r="A309" s="2">
        <v>42521.770833333336</v>
      </c>
      <c r="B309" s="3" t="str">
        <f>"02113701021"</f>
        <v>02113701021</v>
      </c>
      <c r="C309" s="3" t="s">
        <v>103</v>
      </c>
      <c r="D309" s="3" t="s">
        <v>109</v>
      </c>
      <c r="E309" s="3" t="s">
        <v>327</v>
      </c>
      <c r="F309" s="3" t="s">
        <v>131</v>
      </c>
    </row>
    <row r="310" spans="1:10" x14ac:dyDescent="0.25">
      <c r="A310" s="2">
        <v>42521.791666666664</v>
      </c>
      <c r="B310" s="3" t="str">
        <f>"02111101021"</f>
        <v>02111101021</v>
      </c>
      <c r="C310" s="3" t="s">
        <v>12</v>
      </c>
      <c r="D310" s="3" t="s">
        <v>106</v>
      </c>
      <c r="E310" s="3" t="s">
        <v>51</v>
      </c>
      <c r="F310" s="9" t="s">
        <v>134</v>
      </c>
      <c r="G310" s="16" t="s">
        <v>395</v>
      </c>
      <c r="H310" s="12" t="s">
        <v>396</v>
      </c>
      <c r="I310" s="10"/>
    </row>
    <row r="311" spans="1:10" hidden="1" x14ac:dyDescent="0.25">
      <c r="A311" s="2">
        <v>42521.822916666664</v>
      </c>
      <c r="B311" s="3" t="str">
        <f>"02112105027"</f>
        <v>02112105027</v>
      </c>
      <c r="C311" s="3" t="s">
        <v>328</v>
      </c>
      <c r="D311" s="3" t="s">
        <v>12</v>
      </c>
      <c r="E311" s="3" t="s">
        <v>329</v>
      </c>
      <c r="F311" s="3" t="s">
        <v>79</v>
      </c>
    </row>
    <row r="312" spans="1:10" hidden="1" x14ac:dyDescent="0.25">
      <c r="A312" s="2">
        <v>42521.84375</v>
      </c>
      <c r="B312" s="3" t="str">
        <f>"02139701019"</f>
        <v>02139701019</v>
      </c>
      <c r="C312" s="3" t="s">
        <v>146</v>
      </c>
      <c r="D312" s="3" t="s">
        <v>12</v>
      </c>
      <c r="E312" s="3" t="s">
        <v>331</v>
      </c>
      <c r="F312" s="3" t="s">
        <v>92</v>
      </c>
    </row>
    <row r="313" spans="1:10" x14ac:dyDescent="0.25">
      <c r="A313" s="2">
        <v>42521.84375</v>
      </c>
      <c r="B313" s="3" t="str">
        <f>"02212102037"</f>
        <v>02212102037</v>
      </c>
      <c r="C313" s="3" t="s">
        <v>9</v>
      </c>
      <c r="D313" s="3" t="s">
        <v>185</v>
      </c>
      <c r="E313" s="3" t="s">
        <v>51</v>
      </c>
      <c r="F313" s="9" t="s">
        <v>71</v>
      </c>
      <c r="G313" s="16" t="s">
        <v>408</v>
      </c>
      <c r="H313" s="12" t="s">
        <v>409</v>
      </c>
      <c r="I313" s="10"/>
    </row>
    <row r="314" spans="1:10" x14ac:dyDescent="0.25">
      <c r="A314" s="2">
        <v>42522.708333333336</v>
      </c>
      <c r="B314" s="3" t="s">
        <v>476</v>
      </c>
      <c r="C314" s="3" t="s">
        <v>477</v>
      </c>
      <c r="D314" s="3" t="s">
        <v>478</v>
      </c>
      <c r="E314" s="3" t="s">
        <v>122</v>
      </c>
      <c r="F314" s="9" t="s">
        <v>460</v>
      </c>
      <c r="G314" s="16"/>
      <c r="H314" s="12"/>
      <c r="I314" s="10"/>
    </row>
    <row r="315" spans="1:10" x14ac:dyDescent="0.25">
      <c r="A315" s="2">
        <v>42522.708333333336</v>
      </c>
      <c r="B315" s="3" t="str">
        <f>"02108102021"</f>
        <v>02108102021</v>
      </c>
      <c r="C315" s="3" t="s">
        <v>124</v>
      </c>
      <c r="D315" s="3" t="s">
        <v>227</v>
      </c>
      <c r="E315" s="3" t="s">
        <v>100</v>
      </c>
      <c r="F315" s="9" t="s">
        <v>140</v>
      </c>
      <c r="G315" s="16" t="s">
        <v>495</v>
      </c>
      <c r="H315" s="12" t="s">
        <v>426</v>
      </c>
      <c r="I315" s="10"/>
    </row>
    <row r="316" spans="1:10" x14ac:dyDescent="0.25">
      <c r="A316" s="2">
        <v>42522.75</v>
      </c>
      <c r="B316" s="3" t="str">
        <f>"02108102022"</f>
        <v>02108102022</v>
      </c>
      <c r="C316" s="3" t="s">
        <v>120</v>
      </c>
      <c r="D316" s="3" t="s">
        <v>268</v>
      </c>
      <c r="E316" s="3" t="s">
        <v>100</v>
      </c>
      <c r="F316" s="9" t="s">
        <v>140</v>
      </c>
      <c r="G316" s="16" t="s">
        <v>416</v>
      </c>
      <c r="H316" s="12" t="s">
        <v>417</v>
      </c>
      <c r="I316" s="10"/>
    </row>
    <row r="317" spans="1:10" x14ac:dyDescent="0.25">
      <c r="A317" s="2">
        <v>42522.75</v>
      </c>
      <c r="B317" s="3" t="str">
        <f>"02110114024"</f>
        <v>02110114024</v>
      </c>
      <c r="C317" s="3" t="s">
        <v>112</v>
      </c>
      <c r="D317" s="3" t="s">
        <v>332</v>
      </c>
      <c r="E317" s="3" t="s">
        <v>122</v>
      </c>
      <c r="F317" s="9" t="s">
        <v>143</v>
      </c>
      <c r="G317" s="21" t="s">
        <v>484</v>
      </c>
      <c r="H317">
        <v>95065187</v>
      </c>
      <c r="I317" s="10"/>
    </row>
    <row r="318" spans="1:10" hidden="1" x14ac:dyDescent="0.25">
      <c r="A318" s="2">
        <v>42522.760416666664</v>
      </c>
      <c r="B318" s="3" t="str">
        <f>"02112107044"</f>
        <v>02112107044</v>
      </c>
      <c r="C318" s="3" t="s">
        <v>263</v>
      </c>
      <c r="D318" s="3" t="s">
        <v>9</v>
      </c>
      <c r="E318" s="3" t="s">
        <v>306</v>
      </c>
      <c r="F318" s="3" t="s">
        <v>69</v>
      </c>
    </row>
    <row r="319" spans="1:10" ht="26.25" x14ac:dyDescent="0.25">
      <c r="A319" s="2">
        <v>42522.791666666664</v>
      </c>
      <c r="B319" s="3" t="str">
        <f>"02220702029"</f>
        <v>02220702029</v>
      </c>
      <c r="C319" s="3" t="s">
        <v>12</v>
      </c>
      <c r="D319" s="3" t="s">
        <v>105</v>
      </c>
      <c r="E319" s="3" t="s">
        <v>51</v>
      </c>
      <c r="F319" s="9" t="s">
        <v>138</v>
      </c>
      <c r="G319" s="31" t="s">
        <v>487</v>
      </c>
      <c r="H319" s="21" t="s">
        <v>488</v>
      </c>
      <c r="I319" s="10"/>
      <c r="J319" t="s">
        <v>455</v>
      </c>
    </row>
    <row r="320" spans="1:10" hidden="1" x14ac:dyDescent="0.25">
      <c r="A320" s="2">
        <v>42522.802083333336</v>
      </c>
      <c r="B320" s="3" t="str">
        <f>"02120972020"</f>
        <v>02120972020</v>
      </c>
      <c r="C320" s="3" t="s">
        <v>333</v>
      </c>
      <c r="D320" s="3" t="s">
        <v>25</v>
      </c>
      <c r="E320" s="3" t="s">
        <v>78</v>
      </c>
      <c r="F320" s="3" t="s">
        <v>220</v>
      </c>
    </row>
    <row r="321" spans="1:9" hidden="1" x14ac:dyDescent="0.25">
      <c r="A321" s="2">
        <v>42522.833333333336</v>
      </c>
      <c r="B321" s="3" t="str">
        <f>"02120401063"</f>
        <v>02120401063</v>
      </c>
      <c r="C321" s="3" t="s">
        <v>10</v>
      </c>
      <c r="D321" s="3" t="s">
        <v>12</v>
      </c>
      <c r="E321" s="3" t="s">
        <v>334</v>
      </c>
      <c r="F321" s="3" t="s">
        <v>14</v>
      </c>
    </row>
    <row r="322" spans="1:9" hidden="1" x14ac:dyDescent="0.25">
      <c r="A322" s="2">
        <v>42522.84375</v>
      </c>
      <c r="B322" s="3" t="str">
        <f>"02220401051"</f>
        <v>02220401051</v>
      </c>
      <c r="C322" s="3" t="s">
        <v>279</v>
      </c>
      <c r="D322" s="3" t="s">
        <v>12</v>
      </c>
      <c r="E322" s="3" t="s">
        <v>229</v>
      </c>
      <c r="F322" s="3" t="s">
        <v>29</v>
      </c>
    </row>
    <row r="323" spans="1:9" x14ac:dyDescent="0.25">
      <c r="A323" s="2">
        <v>42523.729166666664</v>
      </c>
      <c r="B323" s="3" t="str">
        <f>"02111111022"</f>
        <v>02111111022</v>
      </c>
      <c r="C323" s="3" t="s">
        <v>25</v>
      </c>
      <c r="D323" s="3" t="s">
        <v>335</v>
      </c>
      <c r="E323" s="3" t="s">
        <v>51</v>
      </c>
      <c r="F323" s="9" t="s">
        <v>167</v>
      </c>
      <c r="G323" s="16" t="s">
        <v>412</v>
      </c>
      <c r="H323" s="12" t="s">
        <v>413</v>
      </c>
      <c r="I323" s="10"/>
    </row>
    <row r="324" spans="1:9" hidden="1" x14ac:dyDescent="0.25">
      <c r="A324" s="2">
        <v>42523.75</v>
      </c>
      <c r="B324" s="3" t="str">
        <f>"02110112022"</f>
        <v>02110112022</v>
      </c>
      <c r="C324" s="3" t="s">
        <v>247</v>
      </c>
      <c r="D324" s="3" t="s">
        <v>124</v>
      </c>
      <c r="E324" s="3" t="s">
        <v>336</v>
      </c>
      <c r="F324" s="3" t="s">
        <v>175</v>
      </c>
    </row>
    <row r="325" spans="1:9" hidden="1" x14ac:dyDescent="0.25">
      <c r="A325" s="2">
        <v>42523.791666666664</v>
      </c>
      <c r="B325" s="3" t="str">
        <f>"02110112021"</f>
        <v>02110112021</v>
      </c>
      <c r="C325" s="3" t="s">
        <v>255</v>
      </c>
      <c r="D325" s="3" t="s">
        <v>120</v>
      </c>
      <c r="E325" s="3" t="s">
        <v>336</v>
      </c>
      <c r="F325" s="3" t="s">
        <v>175</v>
      </c>
    </row>
    <row r="326" spans="1:9" x14ac:dyDescent="0.25">
      <c r="A326" s="2">
        <v>42523.84375</v>
      </c>
      <c r="B326" s="3" t="str">
        <f>"02212101036"</f>
        <v>02212101036</v>
      </c>
      <c r="C326" s="3" t="s">
        <v>12</v>
      </c>
      <c r="D326" s="3" t="s">
        <v>106</v>
      </c>
      <c r="E326" s="3" t="s">
        <v>51</v>
      </c>
      <c r="F326" s="9" t="s">
        <v>96</v>
      </c>
      <c r="G326" s="16" t="s">
        <v>399</v>
      </c>
      <c r="H326" s="17">
        <v>41385568</v>
      </c>
      <c r="I326" s="10"/>
    </row>
    <row r="327" spans="1:9" x14ac:dyDescent="0.25">
      <c r="A327" s="2">
        <v>42524.708333333336</v>
      </c>
      <c r="B327" s="3" t="str">
        <f>"02210102021"</f>
        <v>02210102021</v>
      </c>
      <c r="C327" s="3" t="s">
        <v>124</v>
      </c>
      <c r="D327" s="3" t="s">
        <v>262</v>
      </c>
      <c r="E327" s="3" t="s">
        <v>100</v>
      </c>
      <c r="F327" s="9" t="s">
        <v>181</v>
      </c>
      <c r="G327" s="16" t="s">
        <v>404</v>
      </c>
      <c r="H327" s="12" t="s">
        <v>405</v>
      </c>
      <c r="I327" s="10"/>
    </row>
    <row r="328" spans="1:9" hidden="1" x14ac:dyDescent="0.25">
      <c r="A328" s="2">
        <v>42524.71875</v>
      </c>
      <c r="B328" s="3" t="str">
        <f>"02113922042"</f>
        <v>02113922042</v>
      </c>
      <c r="C328" s="3" t="s">
        <v>67</v>
      </c>
      <c r="D328" s="3" t="s">
        <v>9</v>
      </c>
      <c r="E328" s="3" t="s">
        <v>205</v>
      </c>
      <c r="F328" s="3" t="s">
        <v>45</v>
      </c>
    </row>
    <row r="329" spans="1:9" x14ac:dyDescent="0.25">
      <c r="A329" s="2">
        <v>42524.75</v>
      </c>
      <c r="B329" s="3" t="str">
        <f>"02210102022"</f>
        <v>02210102022</v>
      </c>
      <c r="C329" s="3" t="s">
        <v>120</v>
      </c>
      <c r="D329" s="3" t="s">
        <v>259</v>
      </c>
      <c r="E329" s="3" t="s">
        <v>100</v>
      </c>
      <c r="F329" s="9" t="s">
        <v>181</v>
      </c>
      <c r="G329" s="16" t="s">
        <v>414</v>
      </c>
      <c r="H329" s="12" t="s">
        <v>415</v>
      </c>
      <c r="I329" s="10"/>
    </row>
    <row r="330" spans="1:9" ht="26.25" x14ac:dyDescent="0.25">
      <c r="A330" s="2">
        <v>42524.761111111111</v>
      </c>
      <c r="B330" s="3" t="s">
        <v>479</v>
      </c>
      <c r="C330" s="3" t="s">
        <v>62</v>
      </c>
      <c r="D330" s="3" t="s">
        <v>338</v>
      </c>
      <c r="E330" s="3" t="s">
        <v>51</v>
      </c>
      <c r="F330" s="9" t="s">
        <v>480</v>
      </c>
      <c r="G330" s="31" t="s">
        <v>487</v>
      </c>
      <c r="H330" s="21" t="s">
        <v>488</v>
      </c>
      <c r="I330" s="10"/>
    </row>
    <row r="331" spans="1:9" x14ac:dyDescent="0.25">
      <c r="A331" s="2">
        <v>42524.791666666664</v>
      </c>
      <c r="B331" s="3" t="str">
        <f>"02111104021"</f>
        <v>02111104021</v>
      </c>
      <c r="C331" s="3" t="s">
        <v>9</v>
      </c>
      <c r="D331" s="3" t="s">
        <v>55</v>
      </c>
      <c r="E331" s="3" t="s">
        <v>51</v>
      </c>
      <c r="F331" s="9" t="s">
        <v>119</v>
      </c>
      <c r="G331" s="16" t="s">
        <v>410</v>
      </c>
      <c r="H331" s="12" t="s">
        <v>411</v>
      </c>
      <c r="I331" s="10"/>
    </row>
    <row r="332" spans="1:9" x14ac:dyDescent="0.25">
      <c r="A332" s="2">
        <v>42524.84375</v>
      </c>
      <c r="B332" s="3" t="str">
        <f>"02111108037"</f>
        <v>02111108037</v>
      </c>
      <c r="C332" s="3" t="s">
        <v>50</v>
      </c>
      <c r="D332" s="3" t="s">
        <v>36</v>
      </c>
      <c r="E332" s="3" t="s">
        <v>51</v>
      </c>
      <c r="F332" s="9" t="s">
        <v>52</v>
      </c>
      <c r="G332" s="16" t="s">
        <v>406</v>
      </c>
      <c r="H332" s="12" t="s">
        <v>407</v>
      </c>
      <c r="I332" s="10"/>
    </row>
    <row r="333" spans="1:9" hidden="1" x14ac:dyDescent="0.25">
      <c r="A333" s="2">
        <v>42525.458333333336</v>
      </c>
      <c r="B333" s="3" t="str">
        <f>"02111103028"</f>
        <v>02111103028</v>
      </c>
      <c r="C333" s="3" t="s">
        <v>15</v>
      </c>
      <c r="D333" s="3" t="s">
        <v>109</v>
      </c>
      <c r="E333" s="3" t="s">
        <v>271</v>
      </c>
      <c r="F333" s="3" t="s">
        <v>110</v>
      </c>
    </row>
    <row r="334" spans="1:9" x14ac:dyDescent="0.25">
      <c r="A334" s="2">
        <v>42525.541666666664</v>
      </c>
      <c r="B334" s="3" t="str">
        <f>"02209105024"</f>
        <v>02209105024</v>
      </c>
      <c r="C334" s="3" t="s">
        <v>98</v>
      </c>
      <c r="D334" s="3" t="s">
        <v>240</v>
      </c>
      <c r="E334" s="3" t="s">
        <v>100</v>
      </c>
      <c r="F334" s="9" t="s">
        <v>101</v>
      </c>
      <c r="G334" s="16" t="s">
        <v>414</v>
      </c>
      <c r="H334" s="12" t="s">
        <v>415</v>
      </c>
      <c r="I334" s="10"/>
    </row>
    <row r="335" spans="1:9" hidden="1" x14ac:dyDescent="0.25">
      <c r="A335" s="2">
        <v>42526.583333333336</v>
      </c>
      <c r="B335" s="3" t="str">
        <f>"02213101064"</f>
        <v>02213101064</v>
      </c>
      <c r="C335" s="3" t="s">
        <v>10</v>
      </c>
      <c r="D335" s="3" t="s">
        <v>12</v>
      </c>
      <c r="E335" s="3" t="s">
        <v>282</v>
      </c>
      <c r="F335" s="3" t="s">
        <v>19</v>
      </c>
    </row>
    <row r="336" spans="1:9" hidden="1" x14ac:dyDescent="0.25">
      <c r="A336" s="2">
        <v>42526.666666666664</v>
      </c>
      <c r="B336" s="3" t="str">
        <f>"02207103025"</f>
        <v>02207103025</v>
      </c>
      <c r="C336" s="3" t="s">
        <v>207</v>
      </c>
      <c r="D336" s="3" t="s">
        <v>98</v>
      </c>
      <c r="E336" s="3" t="s">
        <v>266</v>
      </c>
      <c r="F336" s="3" t="s">
        <v>127</v>
      </c>
    </row>
    <row r="337" spans="1:9" hidden="1" x14ac:dyDescent="0.25">
      <c r="A337" s="2">
        <v>42526.708333333336</v>
      </c>
      <c r="B337" s="3" t="str">
        <f>"02114201064"</f>
        <v>02114201064</v>
      </c>
      <c r="C337" s="3" t="s">
        <v>137</v>
      </c>
      <c r="D337" s="3" t="s">
        <v>9</v>
      </c>
      <c r="E337" s="3" t="s">
        <v>225</v>
      </c>
      <c r="F337" s="3" t="s">
        <v>22</v>
      </c>
    </row>
    <row r="338" spans="1:9" x14ac:dyDescent="0.25">
      <c r="A338" s="2">
        <v>42527.708333333336</v>
      </c>
      <c r="B338" s="3" t="str">
        <f>"02207101027"</f>
        <v>02207101027</v>
      </c>
      <c r="C338" s="3" t="s">
        <v>120</v>
      </c>
      <c r="D338" s="3" t="s">
        <v>124</v>
      </c>
      <c r="E338" s="3" t="s">
        <v>100</v>
      </c>
      <c r="F338" s="9" t="s">
        <v>123</v>
      </c>
      <c r="G338" s="16" t="s">
        <v>419</v>
      </c>
      <c r="H338" s="12" t="s">
        <v>420</v>
      </c>
      <c r="I338" s="10" t="s">
        <v>497</v>
      </c>
    </row>
    <row r="339" spans="1:9" hidden="1" x14ac:dyDescent="0.25">
      <c r="A339" s="2">
        <v>42527.75</v>
      </c>
      <c r="B339" s="3" t="str">
        <f>"02109105024"</f>
        <v>02109105024</v>
      </c>
      <c r="C339" s="3" t="s">
        <v>149</v>
      </c>
      <c r="D339" s="3" t="s">
        <v>98</v>
      </c>
      <c r="E339" s="3" t="s">
        <v>243</v>
      </c>
      <c r="F339" s="3" t="s">
        <v>170</v>
      </c>
    </row>
    <row r="340" spans="1:9" x14ac:dyDescent="0.25">
      <c r="A340" s="2">
        <v>42527.75</v>
      </c>
      <c r="B340" s="3" t="str">
        <f>"02109106024"</f>
        <v>02109106024</v>
      </c>
      <c r="C340" s="3" t="s">
        <v>124</v>
      </c>
      <c r="D340" s="3" t="s">
        <v>116</v>
      </c>
      <c r="E340" s="3" t="s">
        <v>100</v>
      </c>
      <c r="F340" s="9" t="s">
        <v>173</v>
      </c>
      <c r="G340" s="21" t="s">
        <v>427</v>
      </c>
      <c r="H340" s="21" t="s">
        <v>428</v>
      </c>
      <c r="I340" s="10"/>
    </row>
    <row r="341" spans="1:9" hidden="1" x14ac:dyDescent="0.25">
      <c r="A341" s="2">
        <v>42527.75</v>
      </c>
      <c r="B341" s="3" t="str">
        <f>"02213301065"</f>
        <v>02213301065</v>
      </c>
      <c r="C341" s="3" t="s">
        <v>287</v>
      </c>
      <c r="D341" s="3" t="s">
        <v>32</v>
      </c>
      <c r="E341" s="3" t="s">
        <v>329</v>
      </c>
      <c r="F341" s="3" t="s">
        <v>35</v>
      </c>
    </row>
    <row r="342" spans="1:9" hidden="1" x14ac:dyDescent="0.25">
      <c r="A342" s="2">
        <v>42527.791666666664</v>
      </c>
      <c r="B342" s="3" t="str">
        <f>"02109105023"</f>
        <v>02109105023</v>
      </c>
      <c r="C342" s="3" t="s">
        <v>161</v>
      </c>
      <c r="D342" s="3" t="s">
        <v>112</v>
      </c>
      <c r="E342" s="3" t="s">
        <v>243</v>
      </c>
      <c r="F342" s="3" t="s">
        <v>170</v>
      </c>
    </row>
    <row r="343" spans="1:9" x14ac:dyDescent="0.25">
      <c r="A343" s="2">
        <v>42527.791666666664</v>
      </c>
      <c r="B343" s="3" t="str">
        <f>"02109106023"</f>
        <v>02109106023</v>
      </c>
      <c r="C343" s="3" t="s">
        <v>120</v>
      </c>
      <c r="D343" s="3" t="s">
        <v>274</v>
      </c>
      <c r="E343" s="3" t="s">
        <v>100</v>
      </c>
      <c r="F343" s="9" t="s">
        <v>173</v>
      </c>
      <c r="G343" s="16" t="s">
        <v>418</v>
      </c>
      <c r="H343" s="12">
        <v>92096292</v>
      </c>
      <c r="I343" s="10"/>
    </row>
    <row r="344" spans="1:9" x14ac:dyDescent="0.25">
      <c r="A344" s="2">
        <v>42527.84375</v>
      </c>
      <c r="B344" s="3" t="str">
        <f>"02112105032"</f>
        <v>02112105032</v>
      </c>
      <c r="C344" s="3" t="s">
        <v>12</v>
      </c>
      <c r="D344" s="3" t="s">
        <v>77</v>
      </c>
      <c r="E344" s="3" t="s">
        <v>51</v>
      </c>
      <c r="F344" s="9" t="s">
        <v>79</v>
      </c>
      <c r="G344" s="16" t="s">
        <v>395</v>
      </c>
      <c r="H344" s="12" t="s">
        <v>396</v>
      </c>
      <c r="I344" s="43"/>
    </row>
    <row r="345" spans="1:9" x14ac:dyDescent="0.25">
      <c r="A345" s="2">
        <v>42528.708333333336</v>
      </c>
      <c r="B345" s="3" t="str">
        <f>"02108108027"</f>
        <v>02108108027</v>
      </c>
      <c r="C345" s="3" t="s">
        <v>160</v>
      </c>
      <c r="D345" s="3" t="s">
        <v>148</v>
      </c>
      <c r="E345" s="3" t="s">
        <v>122</v>
      </c>
      <c r="F345" s="9" t="s">
        <v>150</v>
      </c>
      <c r="G345" s="23" t="s">
        <v>435</v>
      </c>
      <c r="H345" s="21"/>
      <c r="I345" s="10" t="s">
        <v>497</v>
      </c>
    </row>
    <row r="346" spans="1:9" x14ac:dyDescent="0.25">
      <c r="A346" s="2">
        <v>42528.708333333336</v>
      </c>
      <c r="B346" s="3" t="str">
        <f>"02208102021"</f>
        <v>02208102021</v>
      </c>
      <c r="C346" s="3" t="s">
        <v>124</v>
      </c>
      <c r="D346" s="3" t="s">
        <v>281</v>
      </c>
      <c r="E346" s="3" t="s">
        <v>100</v>
      </c>
      <c r="F346" s="9" t="s">
        <v>200</v>
      </c>
      <c r="G346" s="16" t="s">
        <v>421</v>
      </c>
      <c r="H346" s="20" t="s">
        <v>422</v>
      </c>
      <c r="I346" s="44"/>
    </row>
    <row r="347" spans="1:9" hidden="1" x14ac:dyDescent="0.25">
      <c r="A347" s="2">
        <v>42528.75</v>
      </c>
      <c r="B347" s="3" t="str">
        <f>"02211104028"</f>
        <v>02211104028</v>
      </c>
      <c r="C347" s="3" t="s">
        <v>231</v>
      </c>
      <c r="D347" s="3" t="s">
        <v>12</v>
      </c>
      <c r="E347" s="3" t="s">
        <v>327</v>
      </c>
      <c r="F347" s="3" t="s">
        <v>132</v>
      </c>
    </row>
    <row r="348" spans="1:9" x14ac:dyDescent="0.25">
      <c r="A348" s="2">
        <v>42528.75</v>
      </c>
      <c r="B348" s="3" t="str">
        <f>"02108105028"</f>
        <v>02108105028</v>
      </c>
      <c r="C348" s="3" t="s">
        <v>98</v>
      </c>
      <c r="D348" s="3" t="s">
        <v>112</v>
      </c>
      <c r="E348" s="3" t="s">
        <v>122</v>
      </c>
      <c r="F348" s="9" t="s">
        <v>114</v>
      </c>
      <c r="G348" s="23" t="s">
        <v>435</v>
      </c>
      <c r="H348" s="21"/>
      <c r="I348" s="10" t="s">
        <v>497</v>
      </c>
    </row>
    <row r="349" spans="1:9" x14ac:dyDescent="0.25">
      <c r="A349" s="2">
        <v>42528.75</v>
      </c>
      <c r="B349" s="3" t="str">
        <f>"02208102022"</f>
        <v>02208102022</v>
      </c>
      <c r="C349" s="3" t="s">
        <v>120</v>
      </c>
      <c r="D349" s="3" t="s">
        <v>280</v>
      </c>
      <c r="E349" s="3" t="s">
        <v>100</v>
      </c>
      <c r="F349" s="9" t="s">
        <v>200</v>
      </c>
      <c r="G349" s="16" t="s">
        <v>493</v>
      </c>
      <c r="H349" s="21" t="s">
        <v>447</v>
      </c>
      <c r="I349" s="44"/>
    </row>
    <row r="350" spans="1:9" hidden="1" x14ac:dyDescent="0.25">
      <c r="A350" s="2">
        <v>42528.760416666664</v>
      </c>
      <c r="B350" s="3" t="str">
        <f>"02111104027"</f>
        <v>02111104027</v>
      </c>
      <c r="C350" s="3" t="s">
        <v>340</v>
      </c>
      <c r="D350" s="3" t="s">
        <v>9</v>
      </c>
      <c r="E350" s="3" t="s">
        <v>312</v>
      </c>
      <c r="F350" s="3" t="s">
        <v>119</v>
      </c>
    </row>
    <row r="351" spans="1:9" hidden="1" x14ac:dyDescent="0.25">
      <c r="A351" s="2">
        <v>42528.770833333336</v>
      </c>
      <c r="B351" s="3" t="str">
        <f>"02114932065"</f>
        <v>02114932065</v>
      </c>
      <c r="C351" s="3" t="s">
        <v>39</v>
      </c>
      <c r="D351" s="3" t="s">
        <v>25</v>
      </c>
      <c r="E351" s="3" t="s">
        <v>40</v>
      </c>
      <c r="F351" s="3" t="s">
        <v>27</v>
      </c>
    </row>
    <row r="352" spans="1:9" x14ac:dyDescent="0.25">
      <c r="A352" s="2">
        <v>42528.791666666664</v>
      </c>
      <c r="B352" s="3" t="str">
        <f>"02110112025"</f>
        <v>02110112025</v>
      </c>
      <c r="C352" s="3" t="s">
        <v>120</v>
      </c>
      <c r="D352" s="3" t="s">
        <v>124</v>
      </c>
      <c r="E352" s="3" t="s">
        <v>100</v>
      </c>
      <c r="F352" s="9" t="s">
        <v>175</v>
      </c>
      <c r="G352" s="21" t="s">
        <v>431</v>
      </c>
      <c r="H352" s="21" t="s">
        <v>432</v>
      </c>
      <c r="I352" s="10" t="s">
        <v>497</v>
      </c>
    </row>
    <row r="353" spans="1:9" x14ac:dyDescent="0.25">
      <c r="A353" s="2">
        <v>42529.708333333336</v>
      </c>
      <c r="B353" s="3" t="str">
        <f>"02108102027"</f>
        <v>02108102027</v>
      </c>
      <c r="C353" s="3" t="s">
        <v>120</v>
      </c>
      <c r="D353" s="3" t="s">
        <v>124</v>
      </c>
      <c r="E353" s="3" t="s">
        <v>100</v>
      </c>
      <c r="F353" s="9" t="s">
        <v>140</v>
      </c>
      <c r="G353" s="23" t="s">
        <v>435</v>
      </c>
      <c r="H353" s="21"/>
      <c r="I353" s="10" t="s">
        <v>497</v>
      </c>
    </row>
    <row r="354" spans="1:9" hidden="1" x14ac:dyDescent="0.25">
      <c r="A354" s="2">
        <v>42529.75</v>
      </c>
      <c r="B354" s="3" t="str">
        <f>"02110114028"</f>
        <v>02110114028</v>
      </c>
      <c r="C354" s="3" t="s">
        <v>341</v>
      </c>
      <c r="D354" s="3" t="s">
        <v>112</v>
      </c>
      <c r="E354" s="3" t="s">
        <v>152</v>
      </c>
      <c r="F354" s="3" t="s">
        <v>143</v>
      </c>
    </row>
    <row r="355" spans="1:9" x14ac:dyDescent="0.25">
      <c r="A355" s="2">
        <v>42529.75</v>
      </c>
      <c r="B355" s="3" t="str">
        <f>"02107101028"</f>
        <v>02107101028</v>
      </c>
      <c r="C355" s="3" t="s">
        <v>120</v>
      </c>
      <c r="D355" s="3" t="s">
        <v>124</v>
      </c>
      <c r="E355" s="3" t="s">
        <v>100</v>
      </c>
      <c r="F355" s="9" t="s">
        <v>153</v>
      </c>
      <c r="G355" s="16" t="s">
        <v>393</v>
      </c>
      <c r="H355" s="12" t="s">
        <v>394</v>
      </c>
      <c r="I355" s="10" t="s">
        <v>497</v>
      </c>
    </row>
    <row r="356" spans="1:9" hidden="1" x14ac:dyDescent="0.25">
      <c r="A356" s="2">
        <v>42529.75</v>
      </c>
      <c r="B356" s="3" t="str">
        <f>"02209105028"</f>
        <v>02209105028</v>
      </c>
      <c r="C356" s="3" t="s">
        <v>342</v>
      </c>
      <c r="D356" s="3" t="s">
        <v>98</v>
      </c>
      <c r="E356" s="3" t="s">
        <v>343</v>
      </c>
      <c r="F356" s="3" t="s">
        <v>101</v>
      </c>
    </row>
    <row r="357" spans="1:9" hidden="1" x14ac:dyDescent="0.25">
      <c r="A357" s="2">
        <v>42529.760416666664</v>
      </c>
      <c r="B357" s="3" t="str">
        <f>"02111111026"</f>
        <v>02111111026</v>
      </c>
      <c r="C357" s="3" t="s">
        <v>330</v>
      </c>
      <c r="D357" s="3" t="s">
        <v>25</v>
      </c>
      <c r="E357" s="3" t="s">
        <v>144</v>
      </c>
      <c r="F357" s="3" t="s">
        <v>167</v>
      </c>
    </row>
    <row r="358" spans="1:9" hidden="1" x14ac:dyDescent="0.25">
      <c r="A358" s="2">
        <v>42529.760416666664</v>
      </c>
      <c r="B358" s="3" t="str">
        <f>"02111101027"</f>
        <v>02111101027</v>
      </c>
      <c r="C358" s="3" t="s">
        <v>39</v>
      </c>
      <c r="D358" s="3" t="s">
        <v>12</v>
      </c>
      <c r="E358" s="3" t="s">
        <v>329</v>
      </c>
      <c r="F358" s="3" t="s">
        <v>134</v>
      </c>
    </row>
    <row r="359" spans="1:9" hidden="1" x14ac:dyDescent="0.25">
      <c r="A359" s="2">
        <v>42529.760416666664</v>
      </c>
      <c r="B359" s="3" t="str">
        <f>"02111109042"</f>
        <v>02111109042</v>
      </c>
      <c r="C359" s="3" t="s">
        <v>344</v>
      </c>
      <c r="D359" s="3" t="s">
        <v>62</v>
      </c>
      <c r="E359" s="3" t="s">
        <v>345</v>
      </c>
      <c r="F359" s="3" t="s">
        <v>64</v>
      </c>
    </row>
    <row r="360" spans="1:9" hidden="1" x14ac:dyDescent="0.25">
      <c r="A360" s="2">
        <v>42529.791666666664</v>
      </c>
      <c r="B360" s="3" t="str">
        <f>"02114101057"</f>
        <v>02114101057</v>
      </c>
      <c r="C360" s="3" t="s">
        <v>179</v>
      </c>
      <c r="D360" s="3" t="s">
        <v>12</v>
      </c>
      <c r="E360" s="3" t="s">
        <v>229</v>
      </c>
      <c r="F360" s="3" t="s">
        <v>38</v>
      </c>
    </row>
    <row r="361" spans="1:9" x14ac:dyDescent="0.25">
      <c r="A361" s="2">
        <v>42529.791666666664</v>
      </c>
      <c r="B361" s="3" t="str">
        <f>"02209102027"</f>
        <v>02209102027</v>
      </c>
      <c r="C361" s="3" t="s">
        <v>120</v>
      </c>
      <c r="D361" s="3" t="s">
        <v>124</v>
      </c>
      <c r="E361" s="3" t="s">
        <v>100</v>
      </c>
      <c r="F361" s="9" t="s">
        <v>158</v>
      </c>
      <c r="G361" s="16" t="s">
        <v>423</v>
      </c>
      <c r="H361" s="12" t="s">
        <v>424</v>
      </c>
      <c r="I361" s="10" t="s">
        <v>497</v>
      </c>
    </row>
    <row r="362" spans="1:9" hidden="1" x14ac:dyDescent="0.25">
      <c r="A362" s="2">
        <v>42529.8125</v>
      </c>
      <c r="B362" s="3" t="str">
        <f>"02212101044"</f>
        <v>02212101044</v>
      </c>
      <c r="C362" s="3" t="s">
        <v>39</v>
      </c>
      <c r="D362" s="3" t="s">
        <v>12</v>
      </c>
      <c r="E362" s="3" t="s">
        <v>329</v>
      </c>
      <c r="F362" s="3" t="s">
        <v>96</v>
      </c>
    </row>
    <row r="363" spans="1:9" hidden="1" x14ac:dyDescent="0.25">
      <c r="A363" s="2">
        <v>42529.84375</v>
      </c>
      <c r="B363" s="3" t="str">
        <f>"02119202063"</f>
        <v>02119202063</v>
      </c>
      <c r="C363" s="3" t="s">
        <v>256</v>
      </c>
      <c r="D363" s="3" t="s">
        <v>9</v>
      </c>
      <c r="E363" s="3" t="s">
        <v>346</v>
      </c>
      <c r="F363" s="3" t="s">
        <v>11</v>
      </c>
    </row>
    <row r="364" spans="1:9" hidden="1" x14ac:dyDescent="0.25">
      <c r="A364" s="2">
        <v>42529.84375</v>
      </c>
      <c r="B364" s="3" t="str">
        <f>"02113921041"</f>
        <v>02113921041</v>
      </c>
      <c r="C364" s="3" t="s">
        <v>39</v>
      </c>
      <c r="D364" s="3" t="s">
        <v>25</v>
      </c>
      <c r="E364" s="3" t="s">
        <v>347</v>
      </c>
      <c r="F364" s="3" t="s">
        <v>56</v>
      </c>
    </row>
    <row r="365" spans="1:9" hidden="1" x14ac:dyDescent="0.25">
      <c r="A365" s="2">
        <v>42529.84375</v>
      </c>
      <c r="B365" s="3" t="str">
        <f>"02220702031"</f>
        <v>02220702031</v>
      </c>
      <c r="C365" s="3" t="s">
        <v>231</v>
      </c>
      <c r="D365" s="3" t="s">
        <v>12</v>
      </c>
      <c r="E365" s="3" t="s">
        <v>327</v>
      </c>
      <c r="F365" s="3" t="s">
        <v>138</v>
      </c>
    </row>
    <row r="366" spans="1:9" hidden="1" x14ac:dyDescent="0.25">
      <c r="A366" s="2">
        <v>42529.84375</v>
      </c>
      <c r="B366" s="3" t="str">
        <f>"02116301044"</f>
        <v>02116301044</v>
      </c>
      <c r="C366" s="3" t="s">
        <v>277</v>
      </c>
      <c r="D366" s="3" t="s">
        <v>87</v>
      </c>
      <c r="E366" s="3" t="s">
        <v>282</v>
      </c>
      <c r="F366" s="3" t="s">
        <v>89</v>
      </c>
    </row>
    <row r="367" spans="1:9" hidden="1" x14ac:dyDescent="0.25">
      <c r="A367" s="2">
        <v>42529.854166666664</v>
      </c>
      <c r="B367" s="3" t="str">
        <f>"02111103032"</f>
        <v>02111103032</v>
      </c>
      <c r="C367" s="3" t="s">
        <v>74</v>
      </c>
      <c r="D367" s="3" t="s">
        <v>109</v>
      </c>
      <c r="E367" s="3" t="s">
        <v>253</v>
      </c>
      <c r="F367" s="3" t="s">
        <v>110</v>
      </c>
    </row>
    <row r="368" spans="1:9" hidden="1" x14ac:dyDescent="0.25">
      <c r="A368" s="2">
        <v>42530.708333333336</v>
      </c>
      <c r="B368" s="3" t="str">
        <f>"02107114027"</f>
        <v>02107114027</v>
      </c>
      <c r="C368" s="3" t="s">
        <v>177</v>
      </c>
      <c r="D368" s="3" t="s">
        <v>98</v>
      </c>
      <c r="E368" s="3" t="s">
        <v>172</v>
      </c>
      <c r="F368" s="3" t="s">
        <v>164</v>
      </c>
    </row>
    <row r="369" spans="1:9" x14ac:dyDescent="0.25">
      <c r="A369" s="2">
        <v>42530.75</v>
      </c>
      <c r="B369" s="3" t="str">
        <f>"02110115027"</f>
        <v>02110115027</v>
      </c>
      <c r="C369" s="3" t="s">
        <v>98</v>
      </c>
      <c r="D369" s="3" t="s">
        <v>99</v>
      </c>
      <c r="E369" s="3" t="s">
        <v>100</v>
      </c>
      <c r="F369" s="9" t="s">
        <v>156</v>
      </c>
      <c r="G369" s="21" t="s">
        <v>445</v>
      </c>
      <c r="H369" s="12" t="s">
        <v>446</v>
      </c>
      <c r="I369" s="10"/>
    </row>
    <row r="370" spans="1:9" x14ac:dyDescent="0.25">
      <c r="A370" s="2">
        <v>42530.770833333336</v>
      </c>
      <c r="B370" s="3" t="str">
        <f>"02113701026"</f>
        <v>02113701026</v>
      </c>
      <c r="C370" s="3" t="s">
        <v>109</v>
      </c>
      <c r="D370" s="3" t="s">
        <v>348</v>
      </c>
      <c r="E370" s="3" t="s">
        <v>34</v>
      </c>
      <c r="F370" s="9" t="s">
        <v>131</v>
      </c>
      <c r="G370" s="16" t="s">
        <v>400</v>
      </c>
      <c r="H370" s="12" t="s">
        <v>401</v>
      </c>
      <c r="I370" s="43"/>
    </row>
    <row r="371" spans="1:9" x14ac:dyDescent="0.25">
      <c r="A371" s="2">
        <v>42530.791666666664</v>
      </c>
      <c r="B371" s="3" t="str">
        <f>"02210102027"</f>
        <v>02210102027</v>
      </c>
      <c r="C371" s="3" t="s">
        <v>120</v>
      </c>
      <c r="D371" s="3" t="s">
        <v>124</v>
      </c>
      <c r="E371" s="3" t="s">
        <v>100</v>
      </c>
      <c r="F371" s="9" t="s">
        <v>181</v>
      </c>
      <c r="G371" s="21" t="s">
        <v>445</v>
      </c>
      <c r="H371" s="12" t="s">
        <v>446</v>
      </c>
      <c r="I371" s="10"/>
    </row>
    <row r="372" spans="1:9" x14ac:dyDescent="0.25">
      <c r="A372" s="2">
        <v>42531.75</v>
      </c>
      <c r="B372" s="3" t="str">
        <f>"02109105028"</f>
        <v>02109105028</v>
      </c>
      <c r="C372" s="3" t="s">
        <v>98</v>
      </c>
      <c r="D372" s="3" t="s">
        <v>112</v>
      </c>
      <c r="E372" s="3" t="s">
        <v>100</v>
      </c>
      <c r="F372" s="9" t="s">
        <v>170</v>
      </c>
      <c r="G372" s="21" t="s">
        <v>450</v>
      </c>
      <c r="H372" s="21" t="s">
        <v>451</v>
      </c>
      <c r="I372" s="10" t="s">
        <v>497</v>
      </c>
    </row>
    <row r="373" spans="1:9" hidden="1" x14ac:dyDescent="0.25">
      <c r="A373" s="2">
        <v>42531.760416666664</v>
      </c>
      <c r="B373" s="3" t="str">
        <f>"02111108043"</f>
        <v>02111108043</v>
      </c>
      <c r="C373" s="3" t="s">
        <v>349</v>
      </c>
      <c r="D373" s="3" t="s">
        <v>50</v>
      </c>
      <c r="E373" s="3" t="s">
        <v>350</v>
      </c>
      <c r="F373" s="3" t="s">
        <v>52</v>
      </c>
    </row>
    <row r="374" spans="1:9" hidden="1" x14ac:dyDescent="0.25">
      <c r="A374" s="2">
        <v>42531.770833333336</v>
      </c>
      <c r="B374" s="3" t="str">
        <f>"02114941025"</f>
        <v>02114941025</v>
      </c>
      <c r="C374" s="3" t="s">
        <v>351</v>
      </c>
      <c r="D374" s="3" t="s">
        <v>62</v>
      </c>
      <c r="E374" s="3" t="s">
        <v>118</v>
      </c>
      <c r="F374" s="3" t="s">
        <v>129</v>
      </c>
    </row>
    <row r="375" spans="1:9" hidden="1" x14ac:dyDescent="0.25">
      <c r="A375" s="2">
        <v>42532.447916666664</v>
      </c>
      <c r="B375" s="3" t="str">
        <f>"02113922048"</f>
        <v>02113922048</v>
      </c>
      <c r="C375" s="3" t="s">
        <v>44</v>
      </c>
      <c r="D375" s="3" t="s">
        <v>9</v>
      </c>
      <c r="E375" s="3" t="s">
        <v>352</v>
      </c>
      <c r="F375" s="3" t="s">
        <v>45</v>
      </c>
    </row>
    <row r="376" spans="1:9" x14ac:dyDescent="0.25">
      <c r="A376" s="2">
        <v>42532.5</v>
      </c>
      <c r="B376" s="3" t="str">
        <f>"02109106026"</f>
        <v>02109106026</v>
      </c>
      <c r="C376" s="3" t="s">
        <v>120</v>
      </c>
      <c r="D376" s="3" t="s">
        <v>124</v>
      </c>
      <c r="E376" s="3" t="s">
        <v>100</v>
      </c>
      <c r="F376" s="9" t="s">
        <v>173</v>
      </c>
      <c r="G376" s="21" t="s">
        <v>452</v>
      </c>
      <c r="H376" s="21" t="s">
        <v>453</v>
      </c>
      <c r="I376" s="10" t="s">
        <v>497</v>
      </c>
    </row>
    <row r="377" spans="1:9" hidden="1" x14ac:dyDescent="0.25">
      <c r="A377" s="2">
        <v>42532.625</v>
      </c>
      <c r="B377" s="3" t="str">
        <f>"02116101066"</f>
        <v>02116101066</v>
      </c>
      <c r="C377" s="3" t="s">
        <v>108</v>
      </c>
      <c r="D377" s="3" t="s">
        <v>12</v>
      </c>
      <c r="E377" s="3" t="s">
        <v>115</v>
      </c>
      <c r="F377" s="3" t="s">
        <v>16</v>
      </c>
    </row>
    <row r="378" spans="1:9" x14ac:dyDescent="0.25">
      <c r="A378" s="2">
        <v>42532.708333333336</v>
      </c>
      <c r="B378" s="3" t="str">
        <f>"02208102027"</f>
        <v>02208102027</v>
      </c>
      <c r="C378" s="3" t="s">
        <v>120</v>
      </c>
      <c r="D378" s="3" t="s">
        <v>124</v>
      </c>
      <c r="E378" s="3" t="s">
        <v>100</v>
      </c>
      <c r="F378" s="9" t="s">
        <v>200</v>
      </c>
      <c r="G378" s="16" t="s">
        <v>430</v>
      </c>
      <c r="H378" s="12" t="s">
        <v>434</v>
      </c>
      <c r="I378" s="10" t="s">
        <v>497</v>
      </c>
    </row>
    <row r="379" spans="1:9" hidden="1" x14ac:dyDescent="0.25">
      <c r="A379" s="2">
        <v>42533.5</v>
      </c>
      <c r="B379" s="3" t="str">
        <f>"02212102043"</f>
        <v>02212102043</v>
      </c>
      <c r="C379" s="3" t="s">
        <v>20</v>
      </c>
      <c r="D379" s="3" t="s">
        <v>9</v>
      </c>
      <c r="E379" s="3" t="s">
        <v>205</v>
      </c>
      <c r="F379" s="3" t="s">
        <v>71</v>
      </c>
    </row>
    <row r="380" spans="1:9" hidden="1" x14ac:dyDescent="0.25">
      <c r="A380" s="2">
        <v>42533.541666666664</v>
      </c>
      <c r="B380" s="3" t="str">
        <f>"02113932026"</f>
        <v>02113932026</v>
      </c>
      <c r="C380" s="3" t="s">
        <v>43</v>
      </c>
      <c r="D380" s="3" t="s">
        <v>62</v>
      </c>
      <c r="E380" s="3" t="s">
        <v>353</v>
      </c>
      <c r="F380" s="3" t="s">
        <v>183</v>
      </c>
    </row>
    <row r="381" spans="1:9" hidden="1" x14ac:dyDescent="0.25">
      <c r="A381" s="2">
        <v>42534.708333333336</v>
      </c>
      <c r="B381" s="3" t="str">
        <f>"02111109048"</f>
        <v>02111109048</v>
      </c>
      <c r="C381" s="3" t="s">
        <v>63</v>
      </c>
      <c r="D381" s="3" t="s">
        <v>62</v>
      </c>
      <c r="E381" s="3" t="s">
        <v>75</v>
      </c>
      <c r="F381" s="3" t="s">
        <v>64</v>
      </c>
    </row>
    <row r="382" spans="1:9" hidden="1" x14ac:dyDescent="0.25">
      <c r="A382" s="2">
        <v>42534.708333333336</v>
      </c>
      <c r="B382" s="3" t="str">
        <f>"02207101031"</f>
        <v>02207101031</v>
      </c>
      <c r="C382" s="3" t="s">
        <v>121</v>
      </c>
      <c r="D382" s="3" t="s">
        <v>120</v>
      </c>
      <c r="E382" s="3" t="s">
        <v>336</v>
      </c>
      <c r="F382" s="3" t="s">
        <v>123</v>
      </c>
    </row>
    <row r="383" spans="1:9" x14ac:dyDescent="0.25">
      <c r="A383" s="2">
        <v>42534.708333333336</v>
      </c>
      <c r="B383" s="3" t="str">
        <f>"02107114032"</f>
        <v>02107114032</v>
      </c>
      <c r="C383" s="3" t="s">
        <v>98</v>
      </c>
      <c r="D383" s="3" t="s">
        <v>163</v>
      </c>
      <c r="E383" s="3" t="s">
        <v>100</v>
      </c>
      <c r="F383" s="9" t="s">
        <v>164</v>
      </c>
      <c r="G383" s="21" t="s">
        <v>485</v>
      </c>
      <c r="H383" s="21" t="s">
        <v>486</v>
      </c>
      <c r="I383" s="10"/>
    </row>
    <row r="384" spans="1:9" x14ac:dyDescent="0.25">
      <c r="A384" s="2">
        <v>42534.75</v>
      </c>
      <c r="B384" s="3" t="str">
        <f>"02107101031"</f>
        <v>02107101031</v>
      </c>
      <c r="C384" s="3" t="s">
        <v>120</v>
      </c>
      <c r="D384" s="3" t="s">
        <v>151</v>
      </c>
      <c r="E384" s="3" t="s">
        <v>100</v>
      </c>
      <c r="F384" s="9" t="s">
        <v>153</v>
      </c>
      <c r="G384" s="21" t="s">
        <v>456</v>
      </c>
      <c r="H384" s="21" t="s">
        <v>457</v>
      </c>
      <c r="I384" s="10"/>
    </row>
    <row r="385" spans="1:9" hidden="1" x14ac:dyDescent="0.25">
      <c r="A385" s="2">
        <v>42534.75</v>
      </c>
      <c r="B385" s="3" t="str">
        <f>"02207101032"</f>
        <v>02207101032</v>
      </c>
      <c r="C385" s="3" t="s">
        <v>125</v>
      </c>
      <c r="D385" s="3" t="s">
        <v>124</v>
      </c>
      <c r="E385" s="3" t="s">
        <v>336</v>
      </c>
      <c r="F385" s="3" t="s">
        <v>123</v>
      </c>
    </row>
    <row r="386" spans="1:9" hidden="1" x14ac:dyDescent="0.25">
      <c r="A386" s="2">
        <v>42534.770833333336</v>
      </c>
      <c r="B386" s="3" t="str">
        <f>"02113921049"</f>
        <v>02113921049</v>
      </c>
      <c r="C386" s="3" t="s">
        <v>55</v>
      </c>
      <c r="D386" s="3" t="s">
        <v>25</v>
      </c>
      <c r="E386" s="3" t="s">
        <v>354</v>
      </c>
      <c r="F386" s="3" t="s">
        <v>56</v>
      </c>
    </row>
    <row r="387" spans="1:9" hidden="1" x14ac:dyDescent="0.25">
      <c r="A387" s="2">
        <v>42534.791666666664</v>
      </c>
      <c r="B387" s="3" t="str">
        <f>"02111108047"</f>
        <v>02111108047</v>
      </c>
      <c r="C387" s="3" t="s">
        <v>30</v>
      </c>
      <c r="D387" s="3" t="s">
        <v>50</v>
      </c>
      <c r="E387" s="3" t="s">
        <v>355</v>
      </c>
      <c r="F387" s="3" t="s">
        <v>52</v>
      </c>
    </row>
    <row r="388" spans="1:9" x14ac:dyDescent="0.25">
      <c r="A388" s="2">
        <v>42534.791666666664</v>
      </c>
      <c r="B388" s="3" t="str">
        <f>"02107101032"</f>
        <v>02107101032</v>
      </c>
      <c r="C388" s="3" t="s">
        <v>124</v>
      </c>
      <c r="D388" s="3" t="s">
        <v>159</v>
      </c>
      <c r="E388" s="3" t="s">
        <v>100</v>
      </c>
      <c r="F388" s="9" t="s">
        <v>153</v>
      </c>
      <c r="G388" s="16" t="s">
        <v>442</v>
      </c>
      <c r="H388" s="16" t="s">
        <v>443</v>
      </c>
      <c r="I388" s="10"/>
    </row>
    <row r="389" spans="1:9" x14ac:dyDescent="0.25">
      <c r="A389" s="2">
        <v>42534.84375</v>
      </c>
      <c r="B389" s="3" t="str">
        <f>"02111104032"</f>
        <v>02111104032</v>
      </c>
      <c r="C389" s="3" t="s">
        <v>9</v>
      </c>
      <c r="D389" s="3" t="s">
        <v>73</v>
      </c>
      <c r="E389" s="3" t="s">
        <v>51</v>
      </c>
      <c r="F389" s="9" t="s">
        <v>119</v>
      </c>
      <c r="G389" s="16" t="s">
        <v>395</v>
      </c>
      <c r="H389" s="12" t="s">
        <v>396</v>
      </c>
      <c r="I389" s="10"/>
    </row>
    <row r="390" spans="1:9" hidden="1" x14ac:dyDescent="0.25">
      <c r="A390" s="2">
        <v>42534.854166666664</v>
      </c>
      <c r="B390" s="3" t="str">
        <f>"02120401071"</f>
        <v>02120401071</v>
      </c>
      <c r="C390" s="3" t="s">
        <v>68</v>
      </c>
      <c r="D390" s="3" t="s">
        <v>12</v>
      </c>
      <c r="E390" s="3" t="s">
        <v>97</v>
      </c>
      <c r="F390" s="3" t="s">
        <v>14</v>
      </c>
    </row>
    <row r="391" spans="1:9" hidden="1" x14ac:dyDescent="0.25">
      <c r="A391" s="2">
        <v>42535.708333333336</v>
      </c>
      <c r="B391" s="3" t="str">
        <f>"02108102031"</f>
        <v>02108102031</v>
      </c>
      <c r="C391" s="3" t="s">
        <v>139</v>
      </c>
      <c r="D391" s="3" t="s">
        <v>120</v>
      </c>
      <c r="E391" s="3" t="s">
        <v>356</v>
      </c>
      <c r="F391" s="3" t="s">
        <v>140</v>
      </c>
    </row>
    <row r="392" spans="1:9" hidden="1" x14ac:dyDescent="0.25">
      <c r="A392" s="2">
        <v>42535.708333333336</v>
      </c>
      <c r="B392" s="3" t="str">
        <f>"02207103031"</f>
        <v>02207103031</v>
      </c>
      <c r="C392" s="3" t="s">
        <v>126</v>
      </c>
      <c r="D392" s="3" t="s">
        <v>98</v>
      </c>
      <c r="E392" s="3" t="s">
        <v>357</v>
      </c>
      <c r="F392" s="3" t="s">
        <v>127</v>
      </c>
    </row>
    <row r="393" spans="1:9" x14ac:dyDescent="0.25">
      <c r="A393" s="2">
        <v>42535.75</v>
      </c>
      <c r="B393" s="3" t="str">
        <f>"02110115030"</f>
        <v>02110115030</v>
      </c>
      <c r="C393" s="3" t="s">
        <v>98</v>
      </c>
      <c r="D393" s="3" t="s">
        <v>154</v>
      </c>
      <c r="E393" s="3" t="s">
        <v>100</v>
      </c>
      <c r="F393" s="9" t="s">
        <v>156</v>
      </c>
      <c r="G393" s="21" t="s">
        <v>436</v>
      </c>
      <c r="H393" s="21" t="s">
        <v>437</v>
      </c>
      <c r="I393" s="10"/>
    </row>
    <row r="394" spans="1:9" hidden="1" x14ac:dyDescent="0.25">
      <c r="A394" s="2">
        <v>42535.75</v>
      </c>
      <c r="B394" s="3" t="str">
        <f>"02108102032"</f>
        <v>02108102032</v>
      </c>
      <c r="C394" s="3" t="s">
        <v>141</v>
      </c>
      <c r="D394" s="3" t="s">
        <v>124</v>
      </c>
      <c r="E394" s="3" t="s">
        <v>356</v>
      </c>
      <c r="F394" s="3" t="s">
        <v>140</v>
      </c>
    </row>
    <row r="395" spans="1:9" x14ac:dyDescent="0.25">
      <c r="A395" s="2">
        <v>42535.791666666664</v>
      </c>
      <c r="B395" s="3" t="str">
        <f>"02111101032"</f>
        <v>02111101032</v>
      </c>
      <c r="C395" s="3" t="s">
        <v>12</v>
      </c>
      <c r="D395" s="3" t="s">
        <v>48</v>
      </c>
      <c r="E395" s="3" t="s">
        <v>51</v>
      </c>
      <c r="F395" s="9" t="s">
        <v>134</v>
      </c>
      <c r="G395" s="16" t="s">
        <v>399</v>
      </c>
      <c r="H395" s="17">
        <v>41385568</v>
      </c>
      <c r="I395" s="10"/>
    </row>
    <row r="396" spans="1:9" hidden="1" x14ac:dyDescent="0.25">
      <c r="A396" s="2">
        <v>42535.84375</v>
      </c>
      <c r="B396" s="3" t="str">
        <f>"02120601063"</f>
        <v>02120601063</v>
      </c>
      <c r="C396" s="3" t="s">
        <v>82</v>
      </c>
      <c r="D396" s="3" t="s">
        <v>9</v>
      </c>
      <c r="E396" s="3" t="s">
        <v>83</v>
      </c>
      <c r="F396" s="3" t="s">
        <v>31</v>
      </c>
    </row>
    <row r="397" spans="1:9" hidden="1" x14ac:dyDescent="0.25">
      <c r="A397" s="2">
        <v>42535.84375</v>
      </c>
      <c r="B397" s="3" t="str">
        <f>"02220401064"</f>
        <v>02220401064</v>
      </c>
      <c r="C397" s="3" t="s">
        <v>185</v>
      </c>
      <c r="D397" s="3" t="s">
        <v>12</v>
      </c>
      <c r="E397" s="3" t="s">
        <v>225</v>
      </c>
      <c r="F397" s="3" t="s">
        <v>29</v>
      </c>
    </row>
    <row r="398" spans="1:9" ht="26.25" x14ac:dyDescent="0.25">
      <c r="A398" s="2">
        <v>42535.84375</v>
      </c>
      <c r="B398" s="3" t="str">
        <f>"02220702038"</f>
        <v>02220702038</v>
      </c>
      <c r="C398" s="3" t="s">
        <v>12</v>
      </c>
      <c r="D398" s="3" t="s">
        <v>15</v>
      </c>
      <c r="E398" s="3" t="s">
        <v>34</v>
      </c>
      <c r="F398" s="9" t="s">
        <v>138</v>
      </c>
      <c r="G398" s="31" t="s">
        <v>487</v>
      </c>
      <c r="H398" s="21" t="s">
        <v>488</v>
      </c>
      <c r="I398" s="10"/>
    </row>
    <row r="399" spans="1:9" hidden="1" x14ac:dyDescent="0.25">
      <c r="A399" s="2">
        <v>42536.708333333336</v>
      </c>
      <c r="B399" s="3" t="str">
        <f>"02112107054"</f>
        <v>02112107054</v>
      </c>
      <c r="C399" s="3" t="s">
        <v>68</v>
      </c>
      <c r="D399" s="3" t="s">
        <v>9</v>
      </c>
      <c r="E399" s="3" t="s">
        <v>144</v>
      </c>
      <c r="F399" s="3" t="s">
        <v>69</v>
      </c>
    </row>
    <row r="400" spans="1:9" hidden="1" x14ac:dyDescent="0.25">
      <c r="A400" s="2">
        <v>42536.75</v>
      </c>
      <c r="B400" s="3" t="str">
        <f>"02209102032"</f>
        <v>02209102032</v>
      </c>
      <c r="C400" s="3" t="s">
        <v>157</v>
      </c>
      <c r="D400" s="3" t="s">
        <v>124</v>
      </c>
      <c r="E400" s="3" t="s">
        <v>358</v>
      </c>
      <c r="F400" s="3" t="s">
        <v>158</v>
      </c>
    </row>
    <row r="401" spans="1:9" x14ac:dyDescent="0.25">
      <c r="A401" s="2">
        <v>42536.75</v>
      </c>
      <c r="B401" s="3" t="str">
        <f>"02108105031"</f>
        <v>02108105031</v>
      </c>
      <c r="C401" s="3" t="s">
        <v>98</v>
      </c>
      <c r="D401" s="3" t="s">
        <v>116</v>
      </c>
      <c r="E401" s="3" t="s">
        <v>122</v>
      </c>
      <c r="F401" s="9" t="s">
        <v>114</v>
      </c>
      <c r="G401" s="16" t="s">
        <v>495</v>
      </c>
      <c r="H401" s="12" t="s">
        <v>426</v>
      </c>
      <c r="I401" s="10"/>
    </row>
    <row r="402" spans="1:9" x14ac:dyDescent="0.25">
      <c r="A402" s="2">
        <v>42536.75</v>
      </c>
      <c r="B402" s="3" t="str">
        <f>"02109105032"</f>
        <v>02109105032</v>
      </c>
      <c r="C402" s="3" t="s">
        <v>112</v>
      </c>
      <c r="D402" s="3" t="s">
        <v>176</v>
      </c>
      <c r="E402" s="3" t="s">
        <v>100</v>
      </c>
      <c r="F402" s="9" t="s">
        <v>170</v>
      </c>
      <c r="G402" s="16" t="s">
        <v>419</v>
      </c>
      <c r="H402" s="12" t="s">
        <v>420</v>
      </c>
      <c r="I402" s="10"/>
    </row>
    <row r="403" spans="1:9" hidden="1" x14ac:dyDescent="0.25">
      <c r="A403" s="2">
        <v>42536.75</v>
      </c>
      <c r="B403" s="3" t="str">
        <f>"02209105032"</f>
        <v>02209105032</v>
      </c>
      <c r="C403" s="3" t="s">
        <v>99</v>
      </c>
      <c r="D403" s="3" t="s">
        <v>98</v>
      </c>
      <c r="E403" s="3" t="s">
        <v>359</v>
      </c>
      <c r="F403" s="3" t="s">
        <v>101</v>
      </c>
    </row>
    <row r="404" spans="1:9" hidden="1" x14ac:dyDescent="0.25">
      <c r="A404" s="2">
        <v>42536.791666666664</v>
      </c>
      <c r="B404" s="3" t="str">
        <f>"02113932030"</f>
        <v>02113932030</v>
      </c>
      <c r="C404" s="3" t="s">
        <v>182</v>
      </c>
      <c r="D404" s="3" t="s">
        <v>62</v>
      </c>
      <c r="E404" s="3" t="s">
        <v>90</v>
      </c>
      <c r="F404" s="3" t="s">
        <v>183</v>
      </c>
    </row>
    <row r="405" spans="1:9" hidden="1" x14ac:dyDescent="0.25">
      <c r="A405" s="2">
        <v>42536.791666666664</v>
      </c>
      <c r="B405" s="3" t="str">
        <f>"02212102047"</f>
        <v>02212102047</v>
      </c>
      <c r="C405" s="3" t="s">
        <v>10</v>
      </c>
      <c r="D405" s="3" t="s">
        <v>9</v>
      </c>
      <c r="E405" s="3" t="s">
        <v>278</v>
      </c>
      <c r="F405" s="3" t="s">
        <v>71</v>
      </c>
    </row>
    <row r="406" spans="1:9" hidden="1" x14ac:dyDescent="0.25">
      <c r="A406" s="2">
        <v>42536.791666666664</v>
      </c>
      <c r="B406" s="3" t="str">
        <f>"02209102031"</f>
        <v>02209102031</v>
      </c>
      <c r="C406" s="3" t="s">
        <v>162</v>
      </c>
      <c r="D406" s="3" t="s">
        <v>120</v>
      </c>
      <c r="E406" s="3" t="s">
        <v>358</v>
      </c>
      <c r="F406" s="3" t="s">
        <v>158</v>
      </c>
    </row>
    <row r="407" spans="1:9" x14ac:dyDescent="0.25">
      <c r="A407" s="2">
        <v>42536.791666666664</v>
      </c>
      <c r="B407" s="3" t="str">
        <f>"02108105032"</f>
        <v>02108105032</v>
      </c>
      <c r="C407" s="3" t="s">
        <v>112</v>
      </c>
      <c r="D407" s="3" t="s">
        <v>111</v>
      </c>
      <c r="E407" s="3" t="s">
        <v>122</v>
      </c>
      <c r="F407" s="9" t="s">
        <v>114</v>
      </c>
      <c r="G407" s="16" t="s">
        <v>418</v>
      </c>
      <c r="H407" s="12">
        <v>92096292</v>
      </c>
      <c r="I407" s="10"/>
    </row>
    <row r="408" spans="1:9" x14ac:dyDescent="0.25">
      <c r="A408" s="2">
        <v>42536.791666666664</v>
      </c>
      <c r="B408" s="3" t="str">
        <f>"02109105031"</f>
        <v>02109105031</v>
      </c>
      <c r="C408" s="3" t="s">
        <v>98</v>
      </c>
      <c r="D408" s="3" t="s">
        <v>168</v>
      </c>
      <c r="E408" s="3" t="s">
        <v>100</v>
      </c>
      <c r="F408" s="9" t="s">
        <v>170</v>
      </c>
      <c r="G408" s="16" t="s">
        <v>416</v>
      </c>
      <c r="H408" s="12" t="s">
        <v>417</v>
      </c>
      <c r="I408" s="10"/>
    </row>
    <row r="409" spans="1:9" hidden="1" x14ac:dyDescent="0.25">
      <c r="A409" s="2">
        <v>42536.791666666664</v>
      </c>
      <c r="B409" s="3" t="str">
        <f>"02208102031"</f>
        <v>02208102031</v>
      </c>
      <c r="C409" s="3" t="s">
        <v>199</v>
      </c>
      <c r="D409" s="3" t="s">
        <v>120</v>
      </c>
      <c r="E409" s="3" t="s">
        <v>360</v>
      </c>
      <c r="F409" s="3" t="s">
        <v>200</v>
      </c>
    </row>
    <row r="410" spans="1:9" hidden="1" x14ac:dyDescent="0.25">
      <c r="A410" s="2">
        <v>42537.708333333336</v>
      </c>
      <c r="B410" s="3" t="str">
        <f>"02210102032"</f>
        <v>02210102032</v>
      </c>
      <c r="C410" s="3" t="s">
        <v>180</v>
      </c>
      <c r="D410" s="3" t="s">
        <v>124</v>
      </c>
      <c r="E410" s="3" t="s">
        <v>190</v>
      </c>
      <c r="F410" s="3" t="s">
        <v>181</v>
      </c>
    </row>
    <row r="411" spans="1:9" hidden="1" x14ac:dyDescent="0.25">
      <c r="A411" s="2">
        <v>42537.75</v>
      </c>
      <c r="B411" s="3" t="str">
        <f>"02208102032"</f>
        <v>02208102032</v>
      </c>
      <c r="C411" s="3" t="s">
        <v>201</v>
      </c>
      <c r="D411" s="3" t="s">
        <v>124</v>
      </c>
      <c r="E411" s="3" t="s">
        <v>361</v>
      </c>
      <c r="F411" s="3" t="s">
        <v>200</v>
      </c>
    </row>
    <row r="412" spans="1:9" x14ac:dyDescent="0.25">
      <c r="A412" s="2">
        <v>42537.75</v>
      </c>
      <c r="B412" s="3" t="str">
        <f>"02109106030"</f>
        <v>02109106030</v>
      </c>
      <c r="C412" s="3" t="s">
        <v>124</v>
      </c>
      <c r="D412" s="3" t="s">
        <v>171</v>
      </c>
      <c r="E412" s="3" t="s">
        <v>100</v>
      </c>
      <c r="F412" s="9" t="s">
        <v>173</v>
      </c>
      <c r="G412" s="16" t="s">
        <v>393</v>
      </c>
      <c r="H412" s="12" t="s">
        <v>394</v>
      </c>
      <c r="I412" s="10"/>
    </row>
    <row r="413" spans="1:9" hidden="1" x14ac:dyDescent="0.25">
      <c r="A413" s="2">
        <v>42537.75</v>
      </c>
      <c r="B413" s="3" t="str">
        <f>"02210102031"</f>
        <v>02210102031</v>
      </c>
      <c r="C413" s="3" t="s">
        <v>184</v>
      </c>
      <c r="D413" s="3" t="s">
        <v>120</v>
      </c>
      <c r="E413" s="3" t="s">
        <v>190</v>
      </c>
      <c r="F413" s="3" t="s">
        <v>181</v>
      </c>
    </row>
    <row r="414" spans="1:9" x14ac:dyDescent="0.25">
      <c r="A414" s="2">
        <v>42537.770833333336</v>
      </c>
      <c r="B414" s="3" t="str">
        <f>"02113701031"</f>
        <v>02113701031</v>
      </c>
      <c r="C414" s="3" t="s">
        <v>109</v>
      </c>
      <c r="D414" s="3" t="s">
        <v>130</v>
      </c>
      <c r="E414" s="3" t="s">
        <v>34</v>
      </c>
      <c r="F414" s="9" t="s">
        <v>131</v>
      </c>
      <c r="G414" s="16" t="s">
        <v>402</v>
      </c>
      <c r="H414" s="12" t="s">
        <v>403</v>
      </c>
      <c r="I414" s="10"/>
    </row>
    <row r="415" spans="1:9" hidden="1" x14ac:dyDescent="0.25">
      <c r="A415" s="2">
        <v>42537.770833333336</v>
      </c>
      <c r="B415" s="3" t="str">
        <f>"02119202069"</f>
        <v>02119202069</v>
      </c>
      <c r="C415" s="3" t="s">
        <v>10</v>
      </c>
      <c r="D415" s="3" t="s">
        <v>9</v>
      </c>
      <c r="E415" s="3" t="s">
        <v>334</v>
      </c>
      <c r="F415" s="3" t="s">
        <v>11</v>
      </c>
    </row>
    <row r="416" spans="1:9" hidden="1" x14ac:dyDescent="0.25">
      <c r="A416" s="2">
        <v>42537.770833333336</v>
      </c>
      <c r="B416" s="3" t="str">
        <f>"02114941031"</f>
        <v>02114941031</v>
      </c>
      <c r="C416" s="3" t="s">
        <v>128</v>
      </c>
      <c r="D416" s="3" t="s">
        <v>62</v>
      </c>
      <c r="E416" s="3" t="s">
        <v>362</v>
      </c>
      <c r="F416" s="3" t="s">
        <v>129</v>
      </c>
    </row>
    <row r="417" spans="1:9" hidden="1" x14ac:dyDescent="0.25">
      <c r="A417" s="2">
        <v>42537.791666666664</v>
      </c>
      <c r="B417" s="3" t="str">
        <f>"02214101076"</f>
        <v>02214101076</v>
      </c>
      <c r="C417" s="3" t="s">
        <v>48</v>
      </c>
      <c r="D417" s="3" t="s">
        <v>12</v>
      </c>
      <c r="E417" s="3" t="s">
        <v>245</v>
      </c>
      <c r="F417" s="3" t="s">
        <v>41</v>
      </c>
    </row>
    <row r="418" spans="1:9" x14ac:dyDescent="0.25">
      <c r="A418" s="2">
        <v>42537.791666666664</v>
      </c>
      <c r="B418" s="3" t="str">
        <f>"02109106029"</f>
        <v>02109106029</v>
      </c>
      <c r="C418" s="3" t="s">
        <v>120</v>
      </c>
      <c r="D418" s="3" t="s">
        <v>177</v>
      </c>
      <c r="E418" s="3" t="s">
        <v>100</v>
      </c>
      <c r="F418" s="9" t="s">
        <v>173</v>
      </c>
      <c r="G418" s="16" t="s">
        <v>410</v>
      </c>
      <c r="H418" s="12" t="s">
        <v>411</v>
      </c>
      <c r="I418" s="10"/>
    </row>
    <row r="419" spans="1:9" hidden="1" x14ac:dyDescent="0.25">
      <c r="A419" s="2">
        <v>42537.791666666664</v>
      </c>
      <c r="B419" s="3" t="str">
        <f>"02110114032"</f>
        <v>02110114032</v>
      </c>
      <c r="C419" s="3" t="s">
        <v>142</v>
      </c>
      <c r="D419" s="3" t="s">
        <v>112</v>
      </c>
      <c r="E419" s="3" t="s">
        <v>363</v>
      </c>
      <c r="F419" s="3" t="s">
        <v>143</v>
      </c>
    </row>
    <row r="420" spans="1:9" hidden="1" x14ac:dyDescent="0.25">
      <c r="A420" s="2">
        <v>42537.84375</v>
      </c>
      <c r="B420" s="3" t="str">
        <f>"02120972025"</f>
        <v>02120972025</v>
      </c>
      <c r="C420" s="3" t="s">
        <v>364</v>
      </c>
      <c r="D420" s="3" t="s">
        <v>25</v>
      </c>
      <c r="E420" s="3" t="s">
        <v>365</v>
      </c>
      <c r="F420" s="3" t="s">
        <v>220</v>
      </c>
    </row>
    <row r="421" spans="1:9" hidden="1" x14ac:dyDescent="0.25">
      <c r="A421" s="2">
        <v>42538.75</v>
      </c>
      <c r="B421" s="3" t="str">
        <f>"02110112029"</f>
        <v>02110112029</v>
      </c>
      <c r="C421" s="3" t="s">
        <v>178</v>
      </c>
      <c r="D421" s="3" t="s">
        <v>120</v>
      </c>
      <c r="E421" s="3" t="s">
        <v>190</v>
      </c>
      <c r="F421" s="3" t="s">
        <v>175</v>
      </c>
    </row>
    <row r="422" spans="1:9" hidden="1" x14ac:dyDescent="0.25">
      <c r="A422" s="2">
        <v>42538.770833333336</v>
      </c>
      <c r="B422" s="3" t="str">
        <f>"02114201068"</f>
        <v>02114201068</v>
      </c>
      <c r="C422" s="3" t="s">
        <v>60</v>
      </c>
      <c r="D422" s="3" t="s">
        <v>9</v>
      </c>
      <c r="E422" s="3" t="s">
        <v>107</v>
      </c>
      <c r="F422" s="3" t="s">
        <v>22</v>
      </c>
    </row>
    <row r="423" spans="1:9" hidden="1" x14ac:dyDescent="0.25">
      <c r="A423" s="2">
        <v>42538.770833333336</v>
      </c>
      <c r="B423" s="3" t="str">
        <f>"02211104032"</f>
        <v>02211104032</v>
      </c>
      <c r="C423" s="3" t="s">
        <v>46</v>
      </c>
      <c r="D423" s="3" t="s">
        <v>12</v>
      </c>
      <c r="E423" s="3" t="s">
        <v>188</v>
      </c>
      <c r="F423" s="3" t="s">
        <v>132</v>
      </c>
    </row>
    <row r="424" spans="1:9" hidden="1" x14ac:dyDescent="0.25">
      <c r="A424" s="2">
        <v>42538.791666666664</v>
      </c>
      <c r="B424" s="3" t="str">
        <f>"02110112030"</f>
        <v>02110112030</v>
      </c>
      <c r="C424" s="3" t="s">
        <v>174</v>
      </c>
      <c r="D424" s="3" t="s">
        <v>124</v>
      </c>
      <c r="E424" s="3" t="s">
        <v>190</v>
      </c>
      <c r="F424" s="3" t="s">
        <v>175</v>
      </c>
    </row>
    <row r="425" spans="1:9" hidden="1" x14ac:dyDescent="0.25">
      <c r="A425" s="2">
        <v>42538.8125</v>
      </c>
      <c r="B425" s="3" t="str">
        <f>"02113912027"</f>
        <v>02113912027</v>
      </c>
      <c r="C425" s="3" t="s">
        <v>106</v>
      </c>
      <c r="D425" s="3" t="s">
        <v>12</v>
      </c>
      <c r="E425" s="3" t="s">
        <v>61</v>
      </c>
      <c r="F425" s="3" t="s">
        <v>85</v>
      </c>
    </row>
    <row r="426" spans="1:9" hidden="1" x14ac:dyDescent="0.25">
      <c r="A426" s="2">
        <v>42539.604166666664</v>
      </c>
      <c r="B426" s="3" t="str">
        <f>"02111111030"</f>
        <v>02111111030</v>
      </c>
      <c r="C426" s="3" t="s">
        <v>166</v>
      </c>
      <c r="D426" s="3" t="s">
        <v>25</v>
      </c>
      <c r="E426" s="3" t="s">
        <v>75</v>
      </c>
      <c r="F426" s="3" t="s">
        <v>167</v>
      </c>
    </row>
    <row r="427" spans="1:9" hidden="1" x14ac:dyDescent="0.25">
      <c r="A427" s="2">
        <v>42539.625</v>
      </c>
      <c r="B427" s="3" t="str">
        <f>"02116101072"</f>
        <v>02116101072</v>
      </c>
      <c r="C427" s="3" t="s">
        <v>15</v>
      </c>
      <c r="D427" s="3" t="s">
        <v>12</v>
      </c>
      <c r="E427" s="3" t="s">
        <v>366</v>
      </c>
      <c r="F427" s="3" t="s">
        <v>16</v>
      </c>
    </row>
    <row r="428" spans="1:9" hidden="1" x14ac:dyDescent="0.25">
      <c r="A428" s="2">
        <v>42540.5</v>
      </c>
      <c r="B428" s="3" t="str">
        <f>"02108108031"</f>
        <v>02108108031</v>
      </c>
      <c r="C428" s="3" t="s">
        <v>161</v>
      </c>
      <c r="D428" s="3" t="s">
        <v>160</v>
      </c>
      <c r="E428" s="3" t="s">
        <v>243</v>
      </c>
      <c r="F428" s="3" t="s">
        <v>150</v>
      </c>
    </row>
    <row r="429" spans="1:9" hidden="1" x14ac:dyDescent="0.25">
      <c r="A429" s="2">
        <v>42540.541666666664</v>
      </c>
      <c r="B429" s="3" t="str">
        <f>"02108108032"</f>
        <v>02108108032</v>
      </c>
      <c r="C429" s="3" t="s">
        <v>149</v>
      </c>
      <c r="D429" s="3" t="s">
        <v>148</v>
      </c>
      <c r="E429" s="3" t="s">
        <v>243</v>
      </c>
      <c r="F429" s="3" t="s">
        <v>150</v>
      </c>
    </row>
    <row r="430" spans="1:9" hidden="1" x14ac:dyDescent="0.25">
      <c r="A430" s="2">
        <v>42540.625</v>
      </c>
      <c r="B430" s="3" t="str">
        <f>"02213101068"</f>
        <v>02213101068</v>
      </c>
      <c r="C430" s="3" t="s">
        <v>70</v>
      </c>
      <c r="D430" s="3" t="s">
        <v>12</v>
      </c>
      <c r="E430" s="3" t="s">
        <v>352</v>
      </c>
      <c r="F430" s="3" t="s">
        <v>19</v>
      </c>
    </row>
    <row r="431" spans="1:9" hidden="1" x14ac:dyDescent="0.25">
      <c r="A431" s="2">
        <v>42540.625</v>
      </c>
      <c r="B431" s="3" t="str">
        <f>"02119101076"</f>
        <v>02119101076</v>
      </c>
      <c r="C431" s="3" t="s">
        <v>23</v>
      </c>
      <c r="D431" s="3" t="s">
        <v>12</v>
      </c>
      <c r="E431" s="3" t="s">
        <v>252</v>
      </c>
      <c r="F431" s="3" t="s">
        <v>24</v>
      </c>
    </row>
    <row r="432" spans="1:9" hidden="1" x14ac:dyDescent="0.25">
      <c r="A432" s="2">
        <v>42541.770833333336</v>
      </c>
      <c r="B432" s="3" t="str">
        <f>"02213301077"</f>
        <v>02213301077</v>
      </c>
      <c r="C432" s="3" t="s">
        <v>33</v>
      </c>
      <c r="D432" s="3" t="s">
        <v>32</v>
      </c>
      <c r="E432" s="3" t="s">
        <v>367</v>
      </c>
      <c r="F432" s="3" t="s">
        <v>35</v>
      </c>
    </row>
    <row r="433" spans="1:9" hidden="1" x14ac:dyDescent="0.25">
      <c r="A433" s="2">
        <v>42542.84375</v>
      </c>
      <c r="B433" s="3" t="str">
        <f>"02120601041"</f>
        <v>02120601041</v>
      </c>
      <c r="C433" s="3" t="s">
        <v>130</v>
      </c>
      <c r="D433" s="3" t="s">
        <v>9</v>
      </c>
      <c r="E433" s="3" t="s">
        <v>252</v>
      </c>
      <c r="F433" s="3" t="s">
        <v>31</v>
      </c>
    </row>
    <row r="434" spans="1:9" hidden="1" x14ac:dyDescent="0.25">
      <c r="A434" s="2">
        <v>42543.770833333336</v>
      </c>
      <c r="B434" s="3" t="str">
        <f>"02114932077"</f>
        <v>02114932077</v>
      </c>
      <c r="C434" s="3" t="s">
        <v>26</v>
      </c>
      <c r="D434" s="3" t="s">
        <v>25</v>
      </c>
      <c r="E434" s="3" t="s">
        <v>37</v>
      </c>
      <c r="F434" s="3" t="s">
        <v>27</v>
      </c>
    </row>
    <row r="435" spans="1:9" hidden="1" x14ac:dyDescent="0.25">
      <c r="A435" s="2">
        <v>42545.791666666664</v>
      </c>
      <c r="B435" s="3" t="str">
        <f>"02120401096"</f>
        <v>02120401096</v>
      </c>
      <c r="C435" s="3" t="s">
        <v>13</v>
      </c>
      <c r="D435" s="3" t="s">
        <v>12</v>
      </c>
      <c r="E435" s="3" t="s">
        <v>368</v>
      </c>
      <c r="F435" s="3" t="s">
        <v>14</v>
      </c>
    </row>
    <row r="436" spans="1:9" hidden="1" x14ac:dyDescent="0.25">
      <c r="A436" s="2">
        <v>42548.770833333336</v>
      </c>
      <c r="B436" s="3" t="str">
        <f>"02220401068"</f>
        <v>02220401068</v>
      </c>
      <c r="C436" s="3" t="s">
        <v>28</v>
      </c>
      <c r="D436" s="3" t="s">
        <v>12</v>
      </c>
      <c r="E436" s="3" t="s">
        <v>326</v>
      </c>
      <c r="F436" s="3" t="s">
        <v>29</v>
      </c>
    </row>
    <row r="437" spans="1:9" hidden="1" x14ac:dyDescent="0.25">
      <c r="A437" s="2">
        <v>42548.84375</v>
      </c>
      <c r="B437" s="3" t="str">
        <f>"02120401086"</f>
        <v>02120401086</v>
      </c>
      <c r="C437" s="3" t="s">
        <v>185</v>
      </c>
      <c r="D437" s="3" t="s">
        <v>12</v>
      </c>
      <c r="E437" s="3" t="s">
        <v>225</v>
      </c>
      <c r="F437" s="3" t="s">
        <v>14</v>
      </c>
    </row>
    <row r="438" spans="1:9" hidden="1" x14ac:dyDescent="0.25">
      <c r="A438" s="2">
        <v>42585.84375</v>
      </c>
      <c r="B438" s="3" t="str">
        <f>"02119202081"</f>
        <v>02119202081</v>
      </c>
      <c r="C438" s="3" t="s">
        <v>39</v>
      </c>
      <c r="D438" s="3" t="s">
        <v>9</v>
      </c>
      <c r="E438" s="3" t="s">
        <v>40</v>
      </c>
      <c r="F438" s="3" t="s">
        <v>11</v>
      </c>
    </row>
    <row r="439" spans="1:9" x14ac:dyDescent="0.25">
      <c r="A439" s="13">
        <v>42589.8125</v>
      </c>
      <c r="B439" s="14" t="str">
        <f>"02111109053"</f>
        <v>02111109053</v>
      </c>
      <c r="C439" s="14" t="s">
        <v>62</v>
      </c>
      <c r="D439" s="14" t="s">
        <v>80</v>
      </c>
      <c r="E439" s="14" t="s">
        <v>51</v>
      </c>
      <c r="F439" s="15" t="s">
        <v>64</v>
      </c>
      <c r="G439" s="18" t="s">
        <v>399</v>
      </c>
      <c r="H439" s="19">
        <v>41385568</v>
      </c>
      <c r="I439" s="10"/>
    </row>
    <row r="440" spans="1:9" hidden="1" x14ac:dyDescent="0.25">
      <c r="A440" s="2">
        <v>42590.770833333336</v>
      </c>
      <c r="B440" s="3" t="str">
        <f>"02213301088"</f>
        <v>02213301088</v>
      </c>
      <c r="C440" s="3" t="s">
        <v>59</v>
      </c>
      <c r="D440" s="3" t="s">
        <v>32</v>
      </c>
      <c r="E440" s="3" t="s">
        <v>314</v>
      </c>
      <c r="F440" s="3" t="s">
        <v>35</v>
      </c>
    </row>
    <row r="441" spans="1:9" hidden="1" x14ac:dyDescent="0.25">
      <c r="A441" s="2">
        <v>42590.770833333336</v>
      </c>
      <c r="B441" s="3" t="str">
        <f>"02114932088"</f>
        <v>02114932088</v>
      </c>
      <c r="C441" s="3" t="s">
        <v>102</v>
      </c>
      <c r="D441" s="3" t="s">
        <v>25</v>
      </c>
      <c r="E441" s="3" t="s">
        <v>273</v>
      </c>
      <c r="F441" s="3" t="s">
        <v>27</v>
      </c>
    </row>
    <row r="442" spans="1:9" hidden="1" x14ac:dyDescent="0.25">
      <c r="A442" s="2">
        <v>42590.84375</v>
      </c>
      <c r="B442" s="3" t="str">
        <f>"02214101084"</f>
        <v>02214101084</v>
      </c>
      <c r="C442" s="3" t="s">
        <v>137</v>
      </c>
      <c r="D442" s="3" t="s">
        <v>12</v>
      </c>
      <c r="E442" s="3" t="s">
        <v>316</v>
      </c>
      <c r="F442" s="3" t="s">
        <v>41</v>
      </c>
    </row>
    <row r="443" spans="1:9" hidden="1" x14ac:dyDescent="0.25">
      <c r="A443" s="2">
        <v>42591.791666666664</v>
      </c>
      <c r="B443" s="3" t="str">
        <f>"02120601069"</f>
        <v>02120601069</v>
      </c>
      <c r="C443" s="3" t="s">
        <v>30</v>
      </c>
      <c r="D443" s="3" t="s">
        <v>9</v>
      </c>
      <c r="E443" s="3" t="s">
        <v>285</v>
      </c>
      <c r="F443" s="3" t="s">
        <v>31</v>
      </c>
    </row>
    <row r="444" spans="1:9" hidden="1" x14ac:dyDescent="0.25">
      <c r="A444" s="2">
        <v>42591.791666666664</v>
      </c>
      <c r="B444" s="3" t="str">
        <f>"02114201089"</f>
        <v>02114201089</v>
      </c>
      <c r="C444" s="3" t="s">
        <v>68</v>
      </c>
      <c r="D444" s="3" t="s">
        <v>9</v>
      </c>
      <c r="E444" s="3" t="s">
        <v>97</v>
      </c>
      <c r="F444" s="3" t="s">
        <v>22</v>
      </c>
    </row>
    <row r="445" spans="1:9" hidden="1" x14ac:dyDescent="0.25">
      <c r="A445" s="2">
        <v>42591.833333333336</v>
      </c>
      <c r="B445" s="3" t="str">
        <f>"02116301054"</f>
        <v>02116301054</v>
      </c>
      <c r="C445" s="3" t="s">
        <v>88</v>
      </c>
      <c r="D445" s="3" t="s">
        <v>87</v>
      </c>
      <c r="E445" s="3" t="s">
        <v>66</v>
      </c>
      <c r="F445" s="3" t="s">
        <v>89</v>
      </c>
    </row>
    <row r="446" spans="1:9" x14ac:dyDescent="0.25">
      <c r="A446" s="2">
        <v>42591.84375</v>
      </c>
      <c r="B446" s="3" t="str">
        <f>"02111108054"</f>
        <v>02111108054</v>
      </c>
      <c r="C446" s="3" t="s">
        <v>50</v>
      </c>
      <c r="D446" s="3" t="s">
        <v>103</v>
      </c>
      <c r="E446" s="3" t="s">
        <v>51</v>
      </c>
      <c r="F446" s="9" t="s">
        <v>52</v>
      </c>
      <c r="G446" s="16" t="s">
        <v>406</v>
      </c>
      <c r="H446" s="12" t="s">
        <v>407</v>
      </c>
      <c r="I446" s="10"/>
    </row>
    <row r="447" spans="1:9" hidden="1" x14ac:dyDescent="0.25">
      <c r="A447" s="2">
        <v>42592.760416666664</v>
      </c>
      <c r="B447" s="3" t="str">
        <f>"02112105035"</f>
        <v>02112105035</v>
      </c>
      <c r="C447" s="3" t="s">
        <v>95</v>
      </c>
      <c r="D447" s="3" t="s">
        <v>12</v>
      </c>
      <c r="E447" s="3" t="s">
        <v>144</v>
      </c>
      <c r="F447" s="3" t="s">
        <v>79</v>
      </c>
    </row>
    <row r="448" spans="1:9" hidden="1" x14ac:dyDescent="0.25">
      <c r="A448" s="2">
        <v>42592.8125</v>
      </c>
      <c r="B448" s="3" t="str">
        <f>"02212101054"</f>
        <v>02212101054</v>
      </c>
      <c r="C448" s="3" t="s">
        <v>95</v>
      </c>
      <c r="D448" s="3" t="s">
        <v>12</v>
      </c>
      <c r="E448" s="3" t="s">
        <v>144</v>
      </c>
      <c r="F448" s="3" t="s">
        <v>96</v>
      </c>
    </row>
    <row r="449" spans="1:9" x14ac:dyDescent="0.25">
      <c r="A449" s="2">
        <v>42592.84375</v>
      </c>
      <c r="B449" s="3" t="str">
        <f>"02212102054"</f>
        <v>02212102054</v>
      </c>
      <c r="C449" s="3" t="s">
        <v>9</v>
      </c>
      <c r="D449" s="3" t="s">
        <v>93</v>
      </c>
      <c r="E449" s="3" t="s">
        <v>51</v>
      </c>
      <c r="F449" s="9" t="s">
        <v>71</v>
      </c>
      <c r="G449" s="16" t="s">
        <v>397</v>
      </c>
      <c r="H449" s="12" t="s">
        <v>398</v>
      </c>
      <c r="I449" s="10"/>
    </row>
    <row r="450" spans="1:9" hidden="1" x14ac:dyDescent="0.25">
      <c r="A450" s="2">
        <v>42593.84375</v>
      </c>
      <c r="B450" s="3" t="str">
        <f>"02220702042"</f>
        <v>02220702042</v>
      </c>
      <c r="C450" s="3" t="s">
        <v>82</v>
      </c>
      <c r="D450" s="3" t="s">
        <v>12</v>
      </c>
      <c r="E450" s="3" t="s">
        <v>302</v>
      </c>
      <c r="F450" s="3" t="s">
        <v>138</v>
      </c>
    </row>
    <row r="451" spans="1:9" hidden="1" x14ac:dyDescent="0.25">
      <c r="A451" s="2">
        <v>42595.541666666664</v>
      </c>
      <c r="B451" s="3" t="str">
        <f>"02114101073"</f>
        <v>02114101073</v>
      </c>
      <c r="C451" s="3" t="s">
        <v>70</v>
      </c>
      <c r="D451" s="3" t="s">
        <v>12</v>
      </c>
      <c r="E451" s="3" t="s">
        <v>369</v>
      </c>
      <c r="F451" s="3" t="s">
        <v>38</v>
      </c>
    </row>
    <row r="452" spans="1:9" hidden="1" x14ac:dyDescent="0.25">
      <c r="A452" s="2">
        <v>42595.541666666664</v>
      </c>
      <c r="B452" s="3" t="str">
        <f>"02116101084"</f>
        <v>02116101084</v>
      </c>
      <c r="C452" s="3" t="s">
        <v>48</v>
      </c>
      <c r="D452" s="3" t="s">
        <v>12</v>
      </c>
      <c r="E452" s="3" t="s">
        <v>49</v>
      </c>
      <c r="F452" s="3" t="s">
        <v>16</v>
      </c>
    </row>
    <row r="453" spans="1:9" hidden="1" x14ac:dyDescent="0.25">
      <c r="A453" s="2">
        <v>42596.552083333336</v>
      </c>
      <c r="B453" s="3" t="str">
        <f>"02111109058"</f>
        <v>02111109058</v>
      </c>
      <c r="C453" s="3" t="s">
        <v>67</v>
      </c>
      <c r="D453" s="3" t="s">
        <v>62</v>
      </c>
      <c r="E453" s="3" t="s">
        <v>205</v>
      </c>
      <c r="F453" s="3" t="s">
        <v>64</v>
      </c>
    </row>
    <row r="454" spans="1:9" hidden="1" x14ac:dyDescent="0.25">
      <c r="A454" s="2">
        <v>42596.666666666664</v>
      </c>
      <c r="B454" s="3" t="str">
        <f>"02107101036"</f>
        <v>02107101036</v>
      </c>
      <c r="C454" s="3" t="s">
        <v>212</v>
      </c>
      <c r="D454" s="3" t="s">
        <v>124</v>
      </c>
      <c r="E454" s="3" t="s">
        <v>266</v>
      </c>
      <c r="F454" s="3" t="s">
        <v>153</v>
      </c>
    </row>
    <row r="455" spans="1:9" hidden="1" x14ac:dyDescent="0.25">
      <c r="A455" s="2">
        <v>42596.666666666664</v>
      </c>
      <c r="B455" s="3" t="str">
        <f>"02110115034"</f>
        <v>02110115034</v>
      </c>
      <c r="C455" s="3" t="s">
        <v>221</v>
      </c>
      <c r="D455" s="3" t="s">
        <v>98</v>
      </c>
      <c r="E455" s="3" t="s">
        <v>370</v>
      </c>
      <c r="F455" s="3" t="s">
        <v>156</v>
      </c>
    </row>
    <row r="456" spans="1:9" hidden="1" x14ac:dyDescent="0.25">
      <c r="A456" s="2">
        <v>42596.708333333336</v>
      </c>
      <c r="B456" s="3" t="str">
        <f>"02107101035"</f>
        <v>02107101035</v>
      </c>
      <c r="C456" s="3" t="s">
        <v>207</v>
      </c>
      <c r="D456" s="3" t="s">
        <v>120</v>
      </c>
      <c r="E456" s="3" t="s">
        <v>266</v>
      </c>
      <c r="F456" s="3" t="s">
        <v>153</v>
      </c>
    </row>
    <row r="457" spans="1:9" x14ac:dyDescent="0.25">
      <c r="A457" s="2">
        <v>42597.708333333336</v>
      </c>
      <c r="B457" s="3" t="str">
        <f>"02207101033"</f>
        <v>02207101033</v>
      </c>
      <c r="C457" s="3" t="s">
        <v>120</v>
      </c>
      <c r="D457" s="3" t="s">
        <v>198</v>
      </c>
      <c r="E457" s="3" t="s">
        <v>122</v>
      </c>
      <c r="F457" s="9" t="s">
        <v>123</v>
      </c>
      <c r="G457" s="21"/>
      <c r="H457" s="21"/>
    </row>
    <row r="458" spans="1:9" hidden="1" x14ac:dyDescent="0.25">
      <c r="A458" s="2">
        <v>42597.708333333336</v>
      </c>
      <c r="B458" s="3" t="str">
        <f>"02107114035"</f>
        <v>02107114035</v>
      </c>
      <c r="C458" s="3" t="s">
        <v>191</v>
      </c>
      <c r="D458" s="3" t="s">
        <v>98</v>
      </c>
      <c r="E458" s="3" t="s">
        <v>371</v>
      </c>
      <c r="F458" s="3" t="s">
        <v>164</v>
      </c>
    </row>
    <row r="459" spans="1:9" x14ac:dyDescent="0.25">
      <c r="A459" s="2">
        <v>42597.75</v>
      </c>
      <c r="B459" s="3" t="str">
        <f>"02207101034"</f>
        <v>02207101034</v>
      </c>
      <c r="C459" s="3" t="s">
        <v>124</v>
      </c>
      <c r="D459" s="3" t="s">
        <v>171</v>
      </c>
      <c r="E459" s="3" t="s">
        <v>122</v>
      </c>
      <c r="F459" s="9" t="s">
        <v>123</v>
      </c>
      <c r="G459" s="21"/>
      <c r="H459" s="21"/>
    </row>
    <row r="460" spans="1:9" x14ac:dyDescent="0.25">
      <c r="A460" s="2">
        <v>42597.75</v>
      </c>
      <c r="B460" s="3" t="str">
        <f>"02108102034"</f>
        <v>02108102034</v>
      </c>
      <c r="C460" s="3" t="s">
        <v>124</v>
      </c>
      <c r="D460" s="3" t="s">
        <v>174</v>
      </c>
      <c r="E460" s="3" t="s">
        <v>100</v>
      </c>
      <c r="F460" s="9" t="s">
        <v>140</v>
      </c>
      <c r="G460" s="21"/>
      <c r="H460" s="21"/>
    </row>
    <row r="461" spans="1:9" hidden="1" x14ac:dyDescent="0.25">
      <c r="A461" s="2">
        <v>42597.760416666664</v>
      </c>
      <c r="B461" s="3" t="str">
        <f>"02111104035"</f>
        <v>02111104035</v>
      </c>
      <c r="C461" s="3" t="s">
        <v>108</v>
      </c>
      <c r="D461" s="3" t="s">
        <v>9</v>
      </c>
      <c r="E461" s="3" t="s">
        <v>372</v>
      </c>
      <c r="F461" s="3" t="s">
        <v>119</v>
      </c>
    </row>
    <row r="462" spans="1:9" hidden="1" x14ac:dyDescent="0.25">
      <c r="A462" s="2">
        <v>42597.770833333336</v>
      </c>
      <c r="B462" s="3" t="str">
        <f>"02113922058"</f>
        <v>02113922058</v>
      </c>
      <c r="C462" s="3" t="s">
        <v>36</v>
      </c>
      <c r="D462" s="3" t="s">
        <v>9</v>
      </c>
      <c r="E462" s="3" t="s">
        <v>136</v>
      </c>
      <c r="F462" s="3" t="s">
        <v>45</v>
      </c>
    </row>
    <row r="463" spans="1:9" x14ac:dyDescent="0.25">
      <c r="A463" s="2">
        <v>42597.791666666664</v>
      </c>
      <c r="B463" s="3" t="str">
        <f>"02108102033"</f>
        <v>02108102033</v>
      </c>
      <c r="C463" s="3" t="s">
        <v>120</v>
      </c>
      <c r="D463" s="3" t="s">
        <v>178</v>
      </c>
      <c r="E463" s="3" t="s">
        <v>100</v>
      </c>
      <c r="F463" s="9" t="s">
        <v>140</v>
      </c>
      <c r="G463" s="21"/>
      <c r="H463" s="21"/>
    </row>
    <row r="464" spans="1:9" hidden="1" x14ac:dyDescent="0.25">
      <c r="A464" s="2">
        <v>42597.8125</v>
      </c>
      <c r="B464" s="3" t="str">
        <f>"02120401110"</f>
        <v>02120401110</v>
      </c>
      <c r="C464" s="3" t="s">
        <v>76</v>
      </c>
      <c r="D464" s="3" t="s">
        <v>12</v>
      </c>
      <c r="E464" s="3" t="s">
        <v>373</v>
      </c>
      <c r="F464" s="3" t="s">
        <v>14</v>
      </c>
    </row>
    <row r="465" spans="1:8" x14ac:dyDescent="0.25">
      <c r="A465" s="2">
        <v>42597.84375</v>
      </c>
      <c r="B465" s="3" t="str">
        <f>"02211104036"</f>
        <v>02211104036</v>
      </c>
      <c r="C465" s="3" t="s">
        <v>12</v>
      </c>
      <c r="D465" s="3" t="s">
        <v>185</v>
      </c>
      <c r="E465" s="3" t="s">
        <v>51</v>
      </c>
      <c r="F465" s="9" t="s">
        <v>132</v>
      </c>
      <c r="G465" s="21"/>
      <c r="H465" s="21"/>
    </row>
    <row r="466" spans="1:8" hidden="1" x14ac:dyDescent="0.25">
      <c r="A466" s="2">
        <v>42598.708333333336</v>
      </c>
      <c r="B466" s="3" t="str">
        <f>"02108105036"</f>
        <v>02108105036</v>
      </c>
      <c r="C466" s="3" t="s">
        <v>197</v>
      </c>
      <c r="D466" s="3" t="s">
        <v>112</v>
      </c>
      <c r="E466" s="3" t="s">
        <v>374</v>
      </c>
      <c r="F466" s="3" t="s">
        <v>114</v>
      </c>
    </row>
    <row r="467" spans="1:8" x14ac:dyDescent="0.25">
      <c r="A467" s="2">
        <v>42598.708333333336</v>
      </c>
      <c r="B467" s="3" t="str">
        <f>"02207103034"</f>
        <v>02207103034</v>
      </c>
      <c r="C467" s="3" t="s">
        <v>98</v>
      </c>
      <c r="D467" s="3" t="s">
        <v>192</v>
      </c>
      <c r="E467" s="3" t="s">
        <v>100</v>
      </c>
      <c r="F467" s="9" t="s">
        <v>127</v>
      </c>
      <c r="G467" s="21"/>
      <c r="H467" s="21"/>
    </row>
    <row r="468" spans="1:8" hidden="1" x14ac:dyDescent="0.25">
      <c r="A468" s="2">
        <v>42598.75</v>
      </c>
      <c r="B468" s="3" t="str">
        <f>"02108105035"</f>
        <v>02108105035</v>
      </c>
      <c r="C468" s="3" t="s">
        <v>202</v>
      </c>
      <c r="D468" s="3" t="s">
        <v>98</v>
      </c>
      <c r="E468" s="3" t="s">
        <v>374</v>
      </c>
      <c r="F468" s="3" t="s">
        <v>114</v>
      </c>
    </row>
    <row r="469" spans="1:8" x14ac:dyDescent="0.25">
      <c r="A469" s="2">
        <v>42598.75</v>
      </c>
      <c r="B469" s="3" t="str">
        <f>"02108108033"</f>
        <v>02108108033</v>
      </c>
      <c r="C469" s="3" t="s">
        <v>160</v>
      </c>
      <c r="D469" s="3" t="s">
        <v>213</v>
      </c>
      <c r="E469" s="3" t="s">
        <v>122</v>
      </c>
      <c r="F469" s="9" t="s">
        <v>150</v>
      </c>
      <c r="G469" s="21"/>
      <c r="H469" s="21"/>
    </row>
    <row r="470" spans="1:8" x14ac:dyDescent="0.25">
      <c r="A470" s="2">
        <v>42598.75</v>
      </c>
      <c r="B470" s="3" t="str">
        <f>"02110112036"</f>
        <v>02110112036</v>
      </c>
      <c r="C470" s="3" t="s">
        <v>120</v>
      </c>
      <c r="D470" s="3" t="s">
        <v>214</v>
      </c>
      <c r="E470" s="3" t="s">
        <v>100</v>
      </c>
      <c r="F470" s="9" t="s">
        <v>175</v>
      </c>
      <c r="G470" s="21"/>
      <c r="H470" s="21"/>
    </row>
    <row r="471" spans="1:8" hidden="1" x14ac:dyDescent="0.25">
      <c r="A471" s="2">
        <v>42598.760416666664</v>
      </c>
      <c r="B471" s="3" t="str">
        <f>"02111101035"</f>
        <v>02111101035</v>
      </c>
      <c r="C471" s="3" t="s">
        <v>105</v>
      </c>
      <c r="D471" s="3" t="s">
        <v>12</v>
      </c>
      <c r="E471" s="3" t="s">
        <v>144</v>
      </c>
      <c r="F471" s="3" t="s">
        <v>134</v>
      </c>
    </row>
    <row r="472" spans="1:8" hidden="1" x14ac:dyDescent="0.25">
      <c r="A472" s="2">
        <v>42598.770833333336</v>
      </c>
      <c r="B472" s="3" t="str">
        <f>"02114941039"</f>
        <v>02114941039</v>
      </c>
      <c r="C472" s="3" t="s">
        <v>13</v>
      </c>
      <c r="D472" s="3" t="s">
        <v>62</v>
      </c>
      <c r="E472" s="3" t="s">
        <v>368</v>
      </c>
      <c r="F472" s="3" t="s">
        <v>129</v>
      </c>
    </row>
    <row r="473" spans="1:8" x14ac:dyDescent="0.25">
      <c r="A473" s="2">
        <v>42598.791666666664</v>
      </c>
      <c r="B473" s="3" t="str">
        <f>"02108108034"</f>
        <v>02108108034</v>
      </c>
      <c r="C473" s="3" t="s">
        <v>148</v>
      </c>
      <c r="D473" s="3" t="s">
        <v>208</v>
      </c>
      <c r="E473" s="3" t="s">
        <v>122</v>
      </c>
      <c r="F473" s="9" t="s">
        <v>150</v>
      </c>
      <c r="G473" s="21"/>
      <c r="H473" s="21"/>
    </row>
    <row r="474" spans="1:8" x14ac:dyDescent="0.25">
      <c r="A474" s="2">
        <v>42598.791666666664</v>
      </c>
      <c r="B474" s="3" t="str">
        <f>"02110112035"</f>
        <v>02110112035</v>
      </c>
      <c r="C474" s="3" t="s">
        <v>124</v>
      </c>
      <c r="D474" s="3" t="s">
        <v>217</v>
      </c>
      <c r="E474" s="3" t="s">
        <v>100</v>
      </c>
      <c r="F474" s="9" t="s">
        <v>175</v>
      </c>
      <c r="G474" s="21"/>
      <c r="H474" s="21"/>
    </row>
    <row r="475" spans="1:8" x14ac:dyDescent="0.25">
      <c r="A475" s="2">
        <v>42598.84375</v>
      </c>
      <c r="B475" s="3" t="str">
        <f>"02112105039"</f>
        <v>02112105039</v>
      </c>
      <c r="C475" s="3" t="s">
        <v>12</v>
      </c>
      <c r="D475" s="3" t="s">
        <v>204</v>
      </c>
      <c r="E475" s="3" t="s">
        <v>51</v>
      </c>
      <c r="F475" s="9" t="s">
        <v>79</v>
      </c>
      <c r="G475" s="21"/>
      <c r="H475" s="21"/>
    </row>
    <row r="476" spans="1:8" hidden="1" x14ac:dyDescent="0.25">
      <c r="A476" s="2">
        <v>42598.84375</v>
      </c>
      <c r="B476" s="3" t="str">
        <f>"02213101089"</f>
        <v>02213101089</v>
      </c>
      <c r="C476" s="3" t="s">
        <v>108</v>
      </c>
      <c r="D476" s="3" t="s">
        <v>12</v>
      </c>
      <c r="E476" s="3" t="s">
        <v>325</v>
      </c>
      <c r="F476" s="3" t="s">
        <v>19</v>
      </c>
    </row>
    <row r="477" spans="1:8" hidden="1" x14ac:dyDescent="0.25">
      <c r="A477" s="2">
        <v>42599.708333333336</v>
      </c>
      <c r="B477" s="3" t="str">
        <f>"02109106034"</f>
        <v>02109106034</v>
      </c>
      <c r="C477" s="3" t="s">
        <v>174</v>
      </c>
      <c r="D477" s="3" t="s">
        <v>124</v>
      </c>
      <c r="E477" s="3" t="s">
        <v>190</v>
      </c>
      <c r="F477" s="3" t="s">
        <v>173</v>
      </c>
    </row>
    <row r="478" spans="1:8" x14ac:dyDescent="0.25">
      <c r="A478" s="2">
        <v>42599.75</v>
      </c>
      <c r="B478" s="3" t="str">
        <f>"02209102033"</f>
        <v>02209102033</v>
      </c>
      <c r="C478" s="3" t="s">
        <v>120</v>
      </c>
      <c r="D478" s="3" t="s">
        <v>218</v>
      </c>
      <c r="E478" s="3" t="s">
        <v>100</v>
      </c>
      <c r="F478" s="9" t="s">
        <v>158</v>
      </c>
      <c r="G478" s="21"/>
      <c r="H478" s="21"/>
    </row>
    <row r="479" spans="1:8" hidden="1" x14ac:dyDescent="0.25">
      <c r="A479" s="2">
        <v>42599.75</v>
      </c>
      <c r="B479" s="3" t="str">
        <f>"02109106033"</f>
        <v>02109106033</v>
      </c>
      <c r="C479" s="3" t="s">
        <v>178</v>
      </c>
      <c r="D479" s="3" t="s">
        <v>120</v>
      </c>
      <c r="E479" s="3" t="s">
        <v>190</v>
      </c>
      <c r="F479" s="3" t="s">
        <v>173</v>
      </c>
    </row>
    <row r="480" spans="1:8" hidden="1" x14ac:dyDescent="0.25">
      <c r="A480" s="2">
        <v>42599.75</v>
      </c>
      <c r="B480" s="3" t="str">
        <f>"02109105036"</f>
        <v>02109105036</v>
      </c>
      <c r="C480" s="3" t="s">
        <v>121</v>
      </c>
      <c r="D480" s="3" t="s">
        <v>112</v>
      </c>
      <c r="E480" s="3" t="s">
        <v>375</v>
      </c>
      <c r="F480" s="3" t="s">
        <v>170</v>
      </c>
    </row>
    <row r="481" spans="1:8" hidden="1" x14ac:dyDescent="0.25">
      <c r="A481" s="2">
        <v>42599.770833333336</v>
      </c>
      <c r="B481" s="3" t="str">
        <f>"02113921059"</f>
        <v>02113921059</v>
      </c>
      <c r="C481" s="3" t="s">
        <v>23</v>
      </c>
      <c r="D481" s="3" t="s">
        <v>25</v>
      </c>
      <c r="E481" s="3" t="s">
        <v>224</v>
      </c>
      <c r="F481" s="3" t="s">
        <v>56</v>
      </c>
    </row>
    <row r="482" spans="1:8" x14ac:dyDescent="0.25">
      <c r="A482" s="2">
        <v>42599.791666666664</v>
      </c>
      <c r="B482" s="3" t="str">
        <f>"02212102060"</f>
        <v>02212102060</v>
      </c>
      <c r="C482" s="3" t="s">
        <v>9</v>
      </c>
      <c r="D482" s="3" t="s">
        <v>46</v>
      </c>
      <c r="E482" s="3" t="s">
        <v>51</v>
      </c>
      <c r="F482" s="9" t="s">
        <v>71</v>
      </c>
      <c r="G482" s="21"/>
      <c r="H482" s="21"/>
    </row>
    <row r="483" spans="1:8" hidden="1" x14ac:dyDescent="0.25">
      <c r="A483" s="2">
        <v>42599.791666666664</v>
      </c>
      <c r="B483" s="3" t="str">
        <f>"02109105035"</f>
        <v>02109105035</v>
      </c>
      <c r="C483" s="3" t="s">
        <v>125</v>
      </c>
      <c r="D483" s="3" t="s">
        <v>98</v>
      </c>
      <c r="E483" s="3" t="s">
        <v>375</v>
      </c>
      <c r="F483" s="3" t="s">
        <v>170</v>
      </c>
    </row>
    <row r="484" spans="1:8" x14ac:dyDescent="0.25">
      <c r="A484" s="2">
        <v>42599.84375</v>
      </c>
      <c r="B484" s="3" t="str">
        <f>"02212101058"</f>
        <v>02212101058</v>
      </c>
      <c r="C484" s="3" t="s">
        <v>12</v>
      </c>
      <c r="D484" s="3" t="s">
        <v>165</v>
      </c>
      <c r="E484" s="3" t="s">
        <v>51</v>
      </c>
      <c r="F484" s="9" t="s">
        <v>96</v>
      </c>
      <c r="G484" s="21"/>
      <c r="H484" s="21"/>
    </row>
    <row r="485" spans="1:8" x14ac:dyDescent="0.25">
      <c r="A485" s="2">
        <v>42600.75</v>
      </c>
      <c r="B485" s="3" t="str">
        <f>"02210102034"</f>
        <v>02210102034</v>
      </c>
      <c r="C485" s="3" t="s">
        <v>124</v>
      </c>
      <c r="D485" s="3" t="s">
        <v>171</v>
      </c>
      <c r="E485" s="3" t="s">
        <v>100</v>
      </c>
      <c r="F485" s="9" t="s">
        <v>181</v>
      </c>
      <c r="G485" s="21"/>
      <c r="H485" s="21"/>
    </row>
    <row r="486" spans="1:8" x14ac:dyDescent="0.25">
      <c r="A486" s="2">
        <v>42600.791666666664</v>
      </c>
      <c r="B486" s="3" t="str">
        <f>"02210102033"</f>
        <v>02210102033</v>
      </c>
      <c r="C486" s="3" t="s">
        <v>120</v>
      </c>
      <c r="D486" s="3" t="s">
        <v>198</v>
      </c>
      <c r="E486" s="3" t="s">
        <v>100</v>
      </c>
      <c r="F486" s="9" t="s">
        <v>181</v>
      </c>
      <c r="G486" s="21"/>
      <c r="H486" s="21"/>
    </row>
    <row r="487" spans="1:8" x14ac:dyDescent="0.25">
      <c r="A487" s="2">
        <v>42600.791666666664</v>
      </c>
      <c r="B487" s="3" t="str">
        <f>"02110114036"</f>
        <v>02110114036</v>
      </c>
      <c r="C487" s="3" t="s">
        <v>112</v>
      </c>
      <c r="D487" s="3" t="s">
        <v>139</v>
      </c>
      <c r="E487" s="3" t="s">
        <v>122</v>
      </c>
      <c r="F487" s="9" t="s">
        <v>143</v>
      </c>
      <c r="G487" s="21"/>
      <c r="H487" s="21"/>
    </row>
    <row r="488" spans="1:8" x14ac:dyDescent="0.25">
      <c r="A488" s="2">
        <v>42600.84375</v>
      </c>
      <c r="B488" s="3" t="str">
        <f>"02111111035"</f>
        <v>02111111035</v>
      </c>
      <c r="C488" s="3" t="s">
        <v>25</v>
      </c>
      <c r="D488" s="3" t="s">
        <v>203</v>
      </c>
      <c r="E488" s="3" t="s">
        <v>51</v>
      </c>
      <c r="F488" s="9" t="s">
        <v>167</v>
      </c>
      <c r="G488" s="21"/>
      <c r="H488" s="21"/>
    </row>
    <row r="489" spans="1:8" x14ac:dyDescent="0.25">
      <c r="A489" s="2">
        <v>42601.75</v>
      </c>
      <c r="B489" s="3" t="str">
        <f>"02209105036"</f>
        <v>02209105036</v>
      </c>
      <c r="C489" s="3" t="s">
        <v>98</v>
      </c>
      <c r="D489" s="3" t="s">
        <v>227</v>
      </c>
      <c r="E489" s="3" t="s">
        <v>100</v>
      </c>
      <c r="F489" s="9" t="s">
        <v>101</v>
      </c>
      <c r="G489" s="21"/>
      <c r="H489" s="21"/>
    </row>
    <row r="490" spans="1:8" hidden="1" x14ac:dyDescent="0.25">
      <c r="A490" s="2">
        <v>42601.84375</v>
      </c>
      <c r="B490" s="3" t="str">
        <f>"02139701029"</f>
        <v>02139701029</v>
      </c>
      <c r="C490" s="3" t="s">
        <v>179</v>
      </c>
      <c r="D490" s="3" t="s">
        <v>12</v>
      </c>
      <c r="E490" s="3" t="s">
        <v>189</v>
      </c>
      <c r="F490" s="3" t="s">
        <v>92</v>
      </c>
    </row>
    <row r="491" spans="1:8" x14ac:dyDescent="0.25">
      <c r="A491" s="2">
        <v>42601.84375</v>
      </c>
      <c r="B491" s="3" t="str">
        <f>"02112107058"</f>
        <v>02112107058</v>
      </c>
      <c r="C491" s="3" t="s">
        <v>9</v>
      </c>
      <c r="D491" s="3" t="s">
        <v>86</v>
      </c>
      <c r="E491" s="3" t="s">
        <v>51</v>
      </c>
      <c r="F491" s="9" t="s">
        <v>69</v>
      </c>
      <c r="G491" s="21"/>
      <c r="H491" s="21"/>
    </row>
    <row r="492" spans="1:8" hidden="1" x14ac:dyDescent="0.25">
      <c r="A492" s="2">
        <v>42602.520833333336</v>
      </c>
      <c r="B492" s="3" t="str">
        <f>"02116101096"</f>
        <v>02116101096</v>
      </c>
      <c r="C492" s="3" t="s">
        <v>20</v>
      </c>
      <c r="D492" s="3" t="s">
        <v>12</v>
      </c>
      <c r="E492" s="3" t="s">
        <v>21</v>
      </c>
      <c r="F492" s="3" t="s">
        <v>16</v>
      </c>
    </row>
    <row r="493" spans="1:8" x14ac:dyDescent="0.25">
      <c r="A493" s="2">
        <v>42602.541666666664</v>
      </c>
      <c r="B493" s="3" t="str">
        <f>"02111103036"</f>
        <v>02111103036</v>
      </c>
      <c r="C493" s="3" t="s">
        <v>109</v>
      </c>
      <c r="D493" s="3" t="s">
        <v>179</v>
      </c>
      <c r="E493" s="3" t="s">
        <v>51</v>
      </c>
      <c r="F493" s="9" t="s">
        <v>110</v>
      </c>
      <c r="G493" s="21"/>
      <c r="H493" s="21"/>
    </row>
    <row r="494" spans="1:8" hidden="1" x14ac:dyDescent="0.25">
      <c r="A494" s="2">
        <v>42602.645833333336</v>
      </c>
      <c r="B494" s="3" t="str">
        <f>"02119101087"</f>
        <v>02119101087</v>
      </c>
      <c r="C494" s="3" t="s">
        <v>73</v>
      </c>
      <c r="D494" s="3" t="s">
        <v>12</v>
      </c>
      <c r="E494" s="3" t="s">
        <v>47</v>
      </c>
      <c r="F494" s="3" t="s">
        <v>24</v>
      </c>
    </row>
    <row r="495" spans="1:8" hidden="1" x14ac:dyDescent="0.25">
      <c r="A495" s="2">
        <v>42603.635416666664</v>
      </c>
      <c r="B495" s="3" t="str">
        <f>"02114932099"</f>
        <v>02114932099</v>
      </c>
      <c r="C495" s="3" t="s">
        <v>105</v>
      </c>
      <c r="D495" s="3" t="s">
        <v>25</v>
      </c>
      <c r="E495" s="3" t="s">
        <v>97</v>
      </c>
      <c r="F495" s="3" t="s">
        <v>27</v>
      </c>
    </row>
    <row r="496" spans="1:8" x14ac:dyDescent="0.25">
      <c r="A496" s="2">
        <v>42604.708333333336</v>
      </c>
      <c r="B496" s="3" t="str">
        <f>"02207101037"</f>
        <v>02207101037</v>
      </c>
      <c r="C496" s="3" t="s">
        <v>120</v>
      </c>
      <c r="D496" s="3" t="s">
        <v>241</v>
      </c>
      <c r="E496" s="3" t="s">
        <v>122</v>
      </c>
      <c r="F496" s="9" t="s">
        <v>123</v>
      </c>
      <c r="G496" s="21"/>
      <c r="H496" s="21"/>
    </row>
    <row r="497" spans="1:8" hidden="1" x14ac:dyDescent="0.25">
      <c r="A497" s="2">
        <v>42604.708333333336</v>
      </c>
      <c r="B497" s="3" t="str">
        <f>"02207103039"</f>
        <v>02207103039</v>
      </c>
      <c r="C497" s="3" t="s">
        <v>210</v>
      </c>
      <c r="D497" s="3" t="s">
        <v>98</v>
      </c>
      <c r="E497" s="3" t="s">
        <v>211</v>
      </c>
      <c r="F497" s="3" t="s">
        <v>127</v>
      </c>
    </row>
    <row r="498" spans="1:8" x14ac:dyDescent="0.25">
      <c r="A498" s="2">
        <v>42604.75</v>
      </c>
      <c r="B498" s="3" t="str">
        <f>"02207101038"</f>
        <v>02207101038</v>
      </c>
      <c r="C498" s="3" t="s">
        <v>124</v>
      </c>
      <c r="D498" s="3" t="s">
        <v>238</v>
      </c>
      <c r="E498" s="3" t="s">
        <v>122</v>
      </c>
      <c r="F498" s="9" t="s">
        <v>123</v>
      </c>
      <c r="G498" s="21"/>
      <c r="H498" s="21"/>
    </row>
    <row r="499" spans="1:8" hidden="1" x14ac:dyDescent="0.25">
      <c r="A499" s="2">
        <v>42604.75</v>
      </c>
      <c r="B499" s="3" t="str">
        <f>"02107101039"</f>
        <v>02107101039</v>
      </c>
      <c r="C499" s="3" t="s">
        <v>230</v>
      </c>
      <c r="D499" s="3" t="s">
        <v>120</v>
      </c>
      <c r="E499" s="3" t="s">
        <v>237</v>
      </c>
      <c r="F499" s="3" t="s">
        <v>153</v>
      </c>
    </row>
    <row r="500" spans="1:8" x14ac:dyDescent="0.25">
      <c r="A500" s="2">
        <v>42604.75</v>
      </c>
      <c r="B500" s="3" t="str">
        <f>"02107114039"</f>
        <v>02107114039</v>
      </c>
      <c r="C500" s="3" t="s">
        <v>98</v>
      </c>
      <c r="D500" s="3" t="s">
        <v>242</v>
      </c>
      <c r="E500" s="3" t="s">
        <v>100</v>
      </c>
      <c r="F500" s="9" t="s">
        <v>164</v>
      </c>
      <c r="G500" s="21"/>
      <c r="H500" s="21"/>
    </row>
    <row r="501" spans="1:8" hidden="1" x14ac:dyDescent="0.25">
      <c r="A501" s="2">
        <v>42604.770833333336</v>
      </c>
      <c r="B501" s="3" t="str">
        <f>"02211104040"</f>
        <v>02211104040</v>
      </c>
      <c r="C501" s="3" t="s">
        <v>187</v>
      </c>
      <c r="D501" s="3" t="s">
        <v>12</v>
      </c>
      <c r="E501" s="3" t="s">
        <v>376</v>
      </c>
      <c r="F501" s="3" t="s">
        <v>132</v>
      </c>
    </row>
    <row r="502" spans="1:8" hidden="1" x14ac:dyDescent="0.25">
      <c r="A502" s="2">
        <v>42604.770833333336</v>
      </c>
      <c r="B502" s="3" t="str">
        <f>"02120601081"</f>
        <v>02120601081</v>
      </c>
      <c r="C502" s="3" t="s">
        <v>91</v>
      </c>
      <c r="D502" s="3" t="s">
        <v>9</v>
      </c>
      <c r="E502" s="3" t="s">
        <v>300</v>
      </c>
      <c r="F502" s="3" t="s">
        <v>31</v>
      </c>
    </row>
    <row r="503" spans="1:8" hidden="1" x14ac:dyDescent="0.25">
      <c r="A503" s="2">
        <v>42604.770833333336</v>
      </c>
      <c r="B503" s="3" t="str">
        <f>"02113701033"</f>
        <v>02113701033</v>
      </c>
      <c r="C503" s="3" t="s">
        <v>196</v>
      </c>
      <c r="D503" s="3" t="s">
        <v>109</v>
      </c>
      <c r="E503" s="3" t="s">
        <v>372</v>
      </c>
      <c r="F503" s="3" t="s">
        <v>131</v>
      </c>
    </row>
    <row r="504" spans="1:8" hidden="1" x14ac:dyDescent="0.25">
      <c r="A504" s="2">
        <v>42604.791666666664</v>
      </c>
      <c r="B504" s="3" t="str">
        <f>"02107101040"</f>
        <v>02107101040</v>
      </c>
      <c r="C504" s="3" t="s">
        <v>233</v>
      </c>
      <c r="D504" s="3" t="s">
        <v>124</v>
      </c>
      <c r="E504" s="3" t="s">
        <v>237</v>
      </c>
      <c r="F504" s="3" t="s">
        <v>153</v>
      </c>
    </row>
    <row r="505" spans="1:8" x14ac:dyDescent="0.25">
      <c r="A505" s="2">
        <v>42604.791666666664</v>
      </c>
      <c r="B505" s="3" t="str">
        <f>"02209102034"</f>
        <v>02209102034</v>
      </c>
      <c r="C505" s="3" t="s">
        <v>124</v>
      </c>
      <c r="D505" s="3" t="s">
        <v>210</v>
      </c>
      <c r="E505" s="3" t="s">
        <v>100</v>
      </c>
      <c r="F505" s="9" t="s">
        <v>158</v>
      </c>
      <c r="G505" s="21"/>
      <c r="H505" s="21"/>
    </row>
    <row r="506" spans="1:8" hidden="1" x14ac:dyDescent="0.25">
      <c r="A506" s="2">
        <v>42604.8125</v>
      </c>
      <c r="B506" s="3" t="str">
        <f>"02111108064"</f>
        <v>02111108064</v>
      </c>
      <c r="C506" s="3" t="s">
        <v>223</v>
      </c>
      <c r="D506" s="3" t="s">
        <v>50</v>
      </c>
      <c r="E506" s="3" t="s">
        <v>118</v>
      </c>
      <c r="F506" s="3" t="s">
        <v>52</v>
      </c>
    </row>
    <row r="507" spans="1:8" x14ac:dyDescent="0.25">
      <c r="A507" s="2">
        <v>42604.84375</v>
      </c>
      <c r="B507" s="3" t="str">
        <f>"02111104039"</f>
        <v>02111104039</v>
      </c>
      <c r="C507" s="3" t="s">
        <v>9</v>
      </c>
      <c r="D507" s="3" t="s">
        <v>102</v>
      </c>
      <c r="E507" s="3" t="s">
        <v>51</v>
      </c>
      <c r="F507" s="9" t="s">
        <v>119</v>
      </c>
      <c r="G507" s="21"/>
      <c r="H507" s="21"/>
    </row>
    <row r="508" spans="1:8" hidden="1" x14ac:dyDescent="0.25">
      <c r="A508" s="2">
        <v>42605.708333333336</v>
      </c>
      <c r="B508" s="3" t="str">
        <f>"02108105040"</f>
        <v>02108105040</v>
      </c>
      <c r="C508" s="3" t="s">
        <v>235</v>
      </c>
      <c r="D508" s="3" t="s">
        <v>112</v>
      </c>
      <c r="E508" s="3" t="s">
        <v>249</v>
      </c>
      <c r="F508" s="3" t="s">
        <v>114</v>
      </c>
    </row>
    <row r="509" spans="1:8" x14ac:dyDescent="0.25">
      <c r="A509" s="2">
        <v>42605.708333333336</v>
      </c>
      <c r="B509" s="3" t="str">
        <f>"02108108038"</f>
        <v>02108108038</v>
      </c>
      <c r="C509" s="3" t="s">
        <v>148</v>
      </c>
      <c r="D509" s="3" t="s">
        <v>257</v>
      </c>
      <c r="E509" s="3" t="s">
        <v>122</v>
      </c>
      <c r="F509" s="9" t="s">
        <v>150</v>
      </c>
      <c r="G509" s="21"/>
      <c r="H509" s="21"/>
    </row>
    <row r="510" spans="1:8" x14ac:dyDescent="0.25">
      <c r="A510" s="2">
        <v>42605.708333333336</v>
      </c>
      <c r="B510" s="3" t="str">
        <f>"02208102033"</f>
        <v>02208102033</v>
      </c>
      <c r="C510" s="3" t="s">
        <v>120</v>
      </c>
      <c r="D510" s="3" t="s">
        <v>236</v>
      </c>
      <c r="E510" s="3" t="s">
        <v>100</v>
      </c>
      <c r="F510" s="9" t="s">
        <v>200</v>
      </c>
      <c r="G510" s="21"/>
      <c r="H510" s="21"/>
    </row>
    <row r="511" spans="1:8" x14ac:dyDescent="0.25">
      <c r="A511" s="2">
        <v>42605.75</v>
      </c>
      <c r="B511" s="3" t="str">
        <f>"02208102034"</f>
        <v>02208102034</v>
      </c>
      <c r="C511" s="3" t="s">
        <v>124</v>
      </c>
      <c r="D511" s="3" t="s">
        <v>240</v>
      </c>
      <c r="E511" s="3" t="s">
        <v>100</v>
      </c>
      <c r="F511" s="9" t="s">
        <v>200</v>
      </c>
      <c r="G511" s="21"/>
      <c r="H511" s="21"/>
    </row>
    <row r="512" spans="1:8" hidden="1" x14ac:dyDescent="0.25">
      <c r="A512" s="2">
        <v>42605.75</v>
      </c>
      <c r="B512" s="3" t="str">
        <f>"02108105039"</f>
        <v>02108105039</v>
      </c>
      <c r="C512" s="3" t="s">
        <v>154</v>
      </c>
      <c r="D512" s="3" t="s">
        <v>98</v>
      </c>
      <c r="E512" s="3" t="s">
        <v>249</v>
      </c>
      <c r="F512" s="3" t="s">
        <v>114</v>
      </c>
    </row>
    <row r="513" spans="1:8" x14ac:dyDescent="0.25">
      <c r="A513" s="2">
        <v>42605.75</v>
      </c>
      <c r="B513" s="3" t="str">
        <f>"02108108037"</f>
        <v>02108108037</v>
      </c>
      <c r="C513" s="3" t="s">
        <v>160</v>
      </c>
      <c r="D513" s="3" t="s">
        <v>261</v>
      </c>
      <c r="E513" s="3" t="s">
        <v>122</v>
      </c>
      <c r="F513" s="9" t="s">
        <v>150</v>
      </c>
      <c r="G513" s="21"/>
      <c r="H513" s="21"/>
    </row>
    <row r="514" spans="1:8" hidden="1" x14ac:dyDescent="0.25">
      <c r="A514" s="2">
        <v>42605.75</v>
      </c>
      <c r="B514" s="3" t="str">
        <f>"02110114040"</f>
        <v>02110114040</v>
      </c>
      <c r="C514" s="3" t="s">
        <v>244</v>
      </c>
      <c r="D514" s="3" t="s">
        <v>112</v>
      </c>
      <c r="E514" s="3" t="s">
        <v>361</v>
      </c>
      <c r="F514" s="3" t="s">
        <v>143</v>
      </c>
    </row>
    <row r="515" spans="1:8" hidden="1" x14ac:dyDescent="0.25">
      <c r="A515" s="2">
        <v>42605.770833333336</v>
      </c>
      <c r="B515" s="3" t="str">
        <f>"02213301099"</f>
        <v>02213301099</v>
      </c>
      <c r="C515" s="3" t="s">
        <v>219</v>
      </c>
      <c r="D515" s="3" t="s">
        <v>32</v>
      </c>
      <c r="E515" s="3" t="s">
        <v>377</v>
      </c>
      <c r="F515" s="3" t="s">
        <v>35</v>
      </c>
    </row>
    <row r="516" spans="1:8" x14ac:dyDescent="0.25">
      <c r="A516" s="2">
        <v>42605.791666666664</v>
      </c>
      <c r="B516" s="3" t="str">
        <f>"02110115037"</f>
        <v>02110115037</v>
      </c>
      <c r="C516" s="3" t="s">
        <v>98</v>
      </c>
      <c r="D516" s="3" t="s">
        <v>149</v>
      </c>
      <c r="E516" s="3" t="s">
        <v>100</v>
      </c>
      <c r="F516" s="9" t="s">
        <v>156</v>
      </c>
      <c r="G516" s="21"/>
      <c r="H516" s="21"/>
    </row>
    <row r="517" spans="1:8" hidden="1" x14ac:dyDescent="0.25">
      <c r="A517" s="2">
        <v>42605.8125</v>
      </c>
      <c r="B517" s="3" t="str">
        <f>"02112105043"</f>
        <v>02112105043</v>
      </c>
      <c r="C517" s="3" t="s">
        <v>246</v>
      </c>
      <c r="D517" s="3" t="s">
        <v>12</v>
      </c>
      <c r="E517" s="3" t="s">
        <v>310</v>
      </c>
      <c r="F517" s="3" t="s">
        <v>79</v>
      </c>
    </row>
    <row r="518" spans="1:8" hidden="1" x14ac:dyDescent="0.25">
      <c r="A518" s="2">
        <v>42605.833333333336</v>
      </c>
      <c r="B518" s="3" t="str">
        <f>"02114201100"</f>
        <v>02114201100</v>
      </c>
      <c r="C518" s="3" t="s">
        <v>48</v>
      </c>
      <c r="D518" s="3" t="s">
        <v>9</v>
      </c>
      <c r="E518" s="3" t="s">
        <v>49</v>
      </c>
      <c r="F518" s="3" t="s">
        <v>22</v>
      </c>
    </row>
    <row r="519" spans="1:8" hidden="1" x14ac:dyDescent="0.25">
      <c r="A519" s="2">
        <v>42605.84375</v>
      </c>
      <c r="B519" s="3" t="str">
        <f>"02139701032"</f>
        <v>02139701032</v>
      </c>
      <c r="C519" s="3" t="s">
        <v>53</v>
      </c>
      <c r="D519" s="3" t="s">
        <v>12</v>
      </c>
      <c r="E519" s="3" t="s">
        <v>81</v>
      </c>
      <c r="F519" s="3" t="s">
        <v>92</v>
      </c>
    </row>
    <row r="520" spans="1:8" x14ac:dyDescent="0.25">
      <c r="A520" s="2">
        <v>42605.84375</v>
      </c>
      <c r="B520" s="3" t="str">
        <f>"02111101039"</f>
        <v>02111101039</v>
      </c>
      <c r="C520" s="3" t="s">
        <v>12</v>
      </c>
      <c r="D520" s="3" t="s">
        <v>23</v>
      </c>
      <c r="E520" s="3" t="s">
        <v>51</v>
      </c>
      <c r="F520" s="9" t="s">
        <v>134</v>
      </c>
      <c r="G520" s="21"/>
      <c r="H520" s="21"/>
    </row>
    <row r="521" spans="1:8" hidden="1" x14ac:dyDescent="0.25">
      <c r="A521" s="2">
        <v>42606.75</v>
      </c>
      <c r="B521" s="3" t="str">
        <f>"02110112037"</f>
        <v>02110112037</v>
      </c>
      <c r="C521" s="3" t="s">
        <v>247</v>
      </c>
      <c r="D521" s="3" t="s">
        <v>120</v>
      </c>
      <c r="E521" s="3" t="s">
        <v>336</v>
      </c>
      <c r="F521" s="3" t="s">
        <v>175</v>
      </c>
    </row>
    <row r="522" spans="1:8" x14ac:dyDescent="0.25">
      <c r="A522" s="2">
        <v>42606.75</v>
      </c>
      <c r="B522" s="3" t="str">
        <f>"02209102038"</f>
        <v>02209102038</v>
      </c>
      <c r="C522" s="3" t="s">
        <v>124</v>
      </c>
      <c r="D522" s="3" t="s">
        <v>248</v>
      </c>
      <c r="E522" s="3" t="s">
        <v>100</v>
      </c>
      <c r="F522" s="9" t="s">
        <v>158</v>
      </c>
      <c r="G522" s="21"/>
      <c r="H522" s="21"/>
    </row>
    <row r="523" spans="1:8" x14ac:dyDescent="0.25">
      <c r="A523" s="2">
        <v>42606.75</v>
      </c>
      <c r="B523" s="3" t="str">
        <f>"02108102038"</f>
        <v>02108102038</v>
      </c>
      <c r="C523" s="3" t="s">
        <v>124</v>
      </c>
      <c r="D523" s="3" t="s">
        <v>268</v>
      </c>
      <c r="E523" s="3" t="s">
        <v>122</v>
      </c>
      <c r="F523" s="9" t="s">
        <v>140</v>
      </c>
      <c r="G523" s="21"/>
      <c r="H523" s="21"/>
    </row>
    <row r="524" spans="1:8" hidden="1" x14ac:dyDescent="0.25">
      <c r="A524" s="2">
        <v>42606.75</v>
      </c>
      <c r="B524" s="3" t="str">
        <f>"02209105040"</f>
        <v>02209105040</v>
      </c>
      <c r="C524" s="3" t="s">
        <v>269</v>
      </c>
      <c r="D524" s="3" t="s">
        <v>98</v>
      </c>
      <c r="E524" s="3" t="s">
        <v>370</v>
      </c>
      <c r="F524" s="3" t="s">
        <v>101</v>
      </c>
    </row>
    <row r="525" spans="1:8" hidden="1" x14ac:dyDescent="0.25">
      <c r="A525" s="2">
        <v>42606.760416666664</v>
      </c>
      <c r="B525" s="3" t="str">
        <f>"02212102064"</f>
        <v>02212102064</v>
      </c>
      <c r="C525" s="3" t="s">
        <v>108</v>
      </c>
      <c r="D525" s="3" t="s">
        <v>9</v>
      </c>
      <c r="E525" s="3" t="s">
        <v>372</v>
      </c>
      <c r="F525" s="3" t="s">
        <v>71</v>
      </c>
    </row>
    <row r="526" spans="1:8" hidden="1" x14ac:dyDescent="0.25">
      <c r="A526" s="2">
        <v>42606.770833333336</v>
      </c>
      <c r="B526" s="3" t="str">
        <f>"02120401124"</f>
        <v>02120401124</v>
      </c>
      <c r="C526" s="3" t="s">
        <v>15</v>
      </c>
      <c r="D526" s="3" t="s">
        <v>12</v>
      </c>
      <c r="E526" s="3" t="s">
        <v>366</v>
      </c>
      <c r="F526" s="3" t="s">
        <v>14</v>
      </c>
    </row>
    <row r="527" spans="1:8" hidden="1" x14ac:dyDescent="0.25">
      <c r="A527" s="2">
        <v>42606.770833333336</v>
      </c>
      <c r="B527" s="3" t="str">
        <f>"02220401089"</f>
        <v>02220401089</v>
      </c>
      <c r="C527" s="3" t="s">
        <v>147</v>
      </c>
      <c r="D527" s="3" t="s">
        <v>12</v>
      </c>
      <c r="E527" s="3" t="s">
        <v>378</v>
      </c>
      <c r="F527" s="3" t="s">
        <v>29</v>
      </c>
    </row>
    <row r="528" spans="1:8" x14ac:dyDescent="0.25">
      <c r="A528" s="2">
        <v>42606.791666666664</v>
      </c>
      <c r="B528" s="3" t="str">
        <f>"02209102037"</f>
        <v>02209102037</v>
      </c>
      <c r="C528" s="3" t="s">
        <v>120</v>
      </c>
      <c r="D528" s="3" t="s">
        <v>254</v>
      </c>
      <c r="E528" s="3" t="s">
        <v>100</v>
      </c>
      <c r="F528" s="9" t="s">
        <v>158</v>
      </c>
      <c r="G528" s="21"/>
      <c r="H528" s="21"/>
    </row>
    <row r="529" spans="1:8" x14ac:dyDescent="0.25">
      <c r="A529" s="2">
        <v>42606.791666666664</v>
      </c>
      <c r="B529" s="3" t="str">
        <f>"02108102037"</f>
        <v>02108102037</v>
      </c>
      <c r="C529" s="3" t="s">
        <v>120</v>
      </c>
      <c r="D529" s="3" t="s">
        <v>227</v>
      </c>
      <c r="E529" s="3" t="s">
        <v>122</v>
      </c>
      <c r="F529" s="9" t="s">
        <v>140</v>
      </c>
      <c r="G529" s="21"/>
      <c r="H529" s="21"/>
    </row>
    <row r="530" spans="1:8" hidden="1" x14ac:dyDescent="0.25">
      <c r="A530" s="2">
        <v>42606.791666666664</v>
      </c>
      <c r="B530" s="3" t="str">
        <f>"02110112038"</f>
        <v>02110112038</v>
      </c>
      <c r="C530" s="3" t="s">
        <v>255</v>
      </c>
      <c r="D530" s="3" t="s">
        <v>124</v>
      </c>
      <c r="E530" s="3" t="s">
        <v>336</v>
      </c>
      <c r="F530" s="3" t="s">
        <v>175</v>
      </c>
    </row>
    <row r="531" spans="1:8" x14ac:dyDescent="0.25">
      <c r="A531" s="2">
        <v>42606.84375</v>
      </c>
      <c r="B531" s="3" t="str">
        <f>"02111109064"</f>
        <v>02111109064</v>
      </c>
      <c r="C531" s="3" t="s">
        <v>62</v>
      </c>
      <c r="D531" s="3" t="s">
        <v>195</v>
      </c>
      <c r="E531" s="3" t="s">
        <v>51</v>
      </c>
      <c r="F531" s="9" t="s">
        <v>64</v>
      </c>
      <c r="G531" s="21"/>
      <c r="H531" s="21"/>
    </row>
    <row r="532" spans="1:8" hidden="1" x14ac:dyDescent="0.25">
      <c r="A532" s="2">
        <v>42607.708333333336</v>
      </c>
      <c r="B532" s="3" t="str">
        <f>"02109105040"</f>
        <v>02109105040</v>
      </c>
      <c r="C532" s="3" t="s">
        <v>149</v>
      </c>
      <c r="D532" s="3" t="s">
        <v>112</v>
      </c>
      <c r="E532" s="3" t="s">
        <v>243</v>
      </c>
      <c r="F532" s="3" t="s">
        <v>170</v>
      </c>
    </row>
    <row r="533" spans="1:8" x14ac:dyDescent="0.25">
      <c r="A533" s="2">
        <v>42607.75</v>
      </c>
      <c r="B533" s="3" t="str">
        <f>"02210102038"</f>
        <v>02210102038</v>
      </c>
      <c r="C533" s="3" t="s">
        <v>124</v>
      </c>
      <c r="D533" s="3" t="s">
        <v>259</v>
      </c>
      <c r="E533" s="3" t="s">
        <v>100</v>
      </c>
      <c r="F533" s="9" t="s">
        <v>181</v>
      </c>
      <c r="G533" s="21"/>
      <c r="H533" s="21"/>
    </row>
    <row r="534" spans="1:8" hidden="1" x14ac:dyDescent="0.25">
      <c r="A534" s="2">
        <v>42607.75</v>
      </c>
      <c r="B534" s="3" t="str">
        <f>"02109105039"</f>
        <v>02109105039</v>
      </c>
      <c r="C534" s="3" t="s">
        <v>161</v>
      </c>
      <c r="D534" s="3" t="s">
        <v>98</v>
      </c>
      <c r="E534" s="3" t="s">
        <v>243</v>
      </c>
      <c r="F534" s="3" t="s">
        <v>170</v>
      </c>
    </row>
    <row r="535" spans="1:8" x14ac:dyDescent="0.25">
      <c r="A535" s="2">
        <v>42607.791666666664</v>
      </c>
      <c r="B535" s="3" t="str">
        <f>"02210102037"</f>
        <v>02210102037</v>
      </c>
      <c r="C535" s="3" t="s">
        <v>120</v>
      </c>
      <c r="D535" s="3" t="s">
        <v>262</v>
      </c>
      <c r="E535" s="3" t="s">
        <v>100</v>
      </c>
      <c r="F535" s="9" t="s">
        <v>181</v>
      </c>
      <c r="G535" s="21"/>
      <c r="H535" s="21"/>
    </row>
    <row r="536" spans="1:8" hidden="1" x14ac:dyDescent="0.25">
      <c r="A536" s="2">
        <v>42608.729166666664</v>
      </c>
      <c r="B536" s="3" t="str">
        <f>"02112107063"</f>
        <v>02112107063</v>
      </c>
      <c r="C536" s="3" t="s">
        <v>39</v>
      </c>
      <c r="D536" s="3" t="s">
        <v>9</v>
      </c>
      <c r="E536" s="3" t="s">
        <v>329</v>
      </c>
      <c r="F536" s="3" t="s">
        <v>69</v>
      </c>
    </row>
    <row r="537" spans="1:8" x14ac:dyDescent="0.25">
      <c r="A537" s="2">
        <v>42608.75</v>
      </c>
      <c r="B537" s="3" t="str">
        <f>"02109106040"</f>
        <v>02109106040</v>
      </c>
      <c r="C537" s="3" t="s">
        <v>124</v>
      </c>
      <c r="D537" s="3" t="s">
        <v>274</v>
      </c>
      <c r="E537" s="3" t="s">
        <v>100</v>
      </c>
      <c r="F537" s="9" t="s">
        <v>173</v>
      </c>
      <c r="G537" s="21"/>
      <c r="H537" s="21"/>
    </row>
    <row r="538" spans="1:8" x14ac:dyDescent="0.25">
      <c r="A538" s="2">
        <v>42608.791666666664</v>
      </c>
      <c r="B538" s="3" t="str">
        <f>"02109106039"</f>
        <v>02109106039</v>
      </c>
      <c r="C538" s="3" t="s">
        <v>120</v>
      </c>
      <c r="D538" s="3" t="s">
        <v>116</v>
      </c>
      <c r="E538" s="3" t="s">
        <v>100</v>
      </c>
      <c r="F538" s="9" t="s">
        <v>173</v>
      </c>
      <c r="G538" s="21"/>
      <c r="H538" s="21"/>
    </row>
    <row r="539" spans="1:8" hidden="1" x14ac:dyDescent="0.25">
      <c r="A539" s="2">
        <v>42608.8125</v>
      </c>
      <c r="B539" s="3" t="str">
        <f>"02212101063"</f>
        <v>02212101063</v>
      </c>
      <c r="C539" s="3" t="s">
        <v>73</v>
      </c>
      <c r="D539" s="3" t="s">
        <v>12</v>
      </c>
      <c r="E539" s="3" t="s">
        <v>118</v>
      </c>
      <c r="F539" s="3" t="s">
        <v>96</v>
      </c>
    </row>
    <row r="540" spans="1:8" hidden="1" x14ac:dyDescent="0.25">
      <c r="A540" s="2">
        <v>42608.84375</v>
      </c>
      <c r="B540" s="3" t="str">
        <f>"02116301063"</f>
        <v>02116301063</v>
      </c>
      <c r="C540" s="3" t="s">
        <v>222</v>
      </c>
      <c r="D540" s="3" t="s">
        <v>87</v>
      </c>
      <c r="E540" s="3" t="s">
        <v>224</v>
      </c>
      <c r="F540" s="3" t="s">
        <v>89</v>
      </c>
    </row>
    <row r="541" spans="1:8" hidden="1" x14ac:dyDescent="0.25">
      <c r="A541" s="2">
        <v>42608.854166666664</v>
      </c>
      <c r="B541" s="3" t="str">
        <f>"02119202101"</f>
        <v>02119202101</v>
      </c>
      <c r="C541" s="3" t="s">
        <v>204</v>
      </c>
      <c r="D541" s="3" t="s">
        <v>9</v>
      </c>
      <c r="E541" s="3" t="s">
        <v>49</v>
      </c>
      <c r="F541" s="3" t="s">
        <v>11</v>
      </c>
    </row>
    <row r="542" spans="1:8" hidden="1" x14ac:dyDescent="0.25">
      <c r="A542" s="2">
        <v>42609.541666666664</v>
      </c>
      <c r="B542" s="3" t="str">
        <f>"02111103040"</f>
        <v>02111103040</v>
      </c>
      <c r="C542" s="3" t="s">
        <v>226</v>
      </c>
      <c r="D542" s="3" t="s">
        <v>109</v>
      </c>
      <c r="E542" s="3" t="s">
        <v>81</v>
      </c>
      <c r="F542" s="3" t="s">
        <v>110</v>
      </c>
    </row>
    <row r="543" spans="1:8" x14ac:dyDescent="0.25">
      <c r="A543" s="2">
        <v>42609.541666666664</v>
      </c>
      <c r="B543" s="3" t="str">
        <f>"02111111040"</f>
        <v>02111111040</v>
      </c>
      <c r="C543" s="3" t="s">
        <v>25</v>
      </c>
      <c r="D543" s="3" t="s">
        <v>44</v>
      </c>
      <c r="E543" s="3" t="s">
        <v>51</v>
      </c>
      <c r="F543" s="9" t="s">
        <v>167</v>
      </c>
      <c r="G543" s="21"/>
      <c r="H543" s="21"/>
    </row>
    <row r="544" spans="1:8" x14ac:dyDescent="0.25">
      <c r="A544" s="2">
        <v>42610.625</v>
      </c>
      <c r="B544" s="3" t="str">
        <f>"02110114044"</f>
        <v>02110114044</v>
      </c>
      <c r="C544" s="3" t="s">
        <v>112</v>
      </c>
      <c r="D544" s="3" t="s">
        <v>161</v>
      </c>
      <c r="E544" s="3" t="s">
        <v>122</v>
      </c>
      <c r="F544" s="9" t="s">
        <v>143</v>
      </c>
      <c r="G544" s="21"/>
      <c r="H544" s="21"/>
    </row>
    <row r="545" spans="1:8" x14ac:dyDescent="0.25">
      <c r="A545" s="2">
        <v>42610.666666666664</v>
      </c>
      <c r="B545" s="3" t="str">
        <f>"02207103041"</f>
        <v>02207103041</v>
      </c>
      <c r="C545" s="3" t="s">
        <v>98</v>
      </c>
      <c r="D545" s="3" t="s">
        <v>176</v>
      </c>
      <c r="E545" s="3" t="s">
        <v>122</v>
      </c>
      <c r="F545" s="9" t="s">
        <v>127</v>
      </c>
      <c r="G545" s="21"/>
      <c r="H545" s="21"/>
    </row>
    <row r="546" spans="1:8" x14ac:dyDescent="0.25">
      <c r="A546" s="2">
        <v>42610.666666666664</v>
      </c>
      <c r="B546" s="3" t="str">
        <f>"02209105044"</f>
        <v>02209105044</v>
      </c>
      <c r="C546" s="3" t="s">
        <v>98</v>
      </c>
      <c r="D546" s="3" t="s">
        <v>289</v>
      </c>
      <c r="E546" s="3" t="s">
        <v>100</v>
      </c>
      <c r="F546" s="9" t="s">
        <v>101</v>
      </c>
      <c r="G546" s="21"/>
      <c r="H546" s="21"/>
    </row>
    <row r="547" spans="1:8" x14ac:dyDescent="0.25">
      <c r="A547" s="2">
        <v>42611.708333333336</v>
      </c>
      <c r="B547" s="3" t="str">
        <f>"02208102038"</f>
        <v>02208102038</v>
      </c>
      <c r="C547" s="3" t="s">
        <v>124</v>
      </c>
      <c r="D547" s="3" t="s">
        <v>280</v>
      </c>
      <c r="E547" s="3" t="s">
        <v>100</v>
      </c>
      <c r="F547" s="9" t="s">
        <v>200</v>
      </c>
      <c r="G547" s="21"/>
      <c r="H547" s="21"/>
    </row>
    <row r="548" spans="1:8" hidden="1" x14ac:dyDescent="0.25">
      <c r="A548" s="2">
        <v>42611.708333333336</v>
      </c>
      <c r="B548" s="3" t="str">
        <f>"02207101043"</f>
        <v>02207101043</v>
      </c>
      <c r="C548" s="3" t="s">
        <v>125</v>
      </c>
      <c r="D548" s="3" t="s">
        <v>120</v>
      </c>
      <c r="E548" s="3" t="s">
        <v>336</v>
      </c>
      <c r="F548" s="3" t="s">
        <v>123</v>
      </c>
    </row>
    <row r="549" spans="1:8" hidden="1" x14ac:dyDescent="0.25">
      <c r="A549" s="2">
        <v>42611.708333333336</v>
      </c>
      <c r="B549" s="3" t="str">
        <f>"02107114043"</f>
        <v>02107114043</v>
      </c>
      <c r="C549" s="3" t="s">
        <v>218</v>
      </c>
      <c r="D549" s="3" t="s">
        <v>98</v>
      </c>
      <c r="E549" s="3" t="s">
        <v>211</v>
      </c>
      <c r="F549" s="3" t="s">
        <v>164</v>
      </c>
    </row>
    <row r="550" spans="1:8" x14ac:dyDescent="0.25">
      <c r="A550" s="2">
        <v>42611.708333333336</v>
      </c>
      <c r="B550" s="3" t="str">
        <f>"02107101043"</f>
        <v>02107101043</v>
      </c>
      <c r="C550" s="3" t="s">
        <v>124</v>
      </c>
      <c r="D550" s="3" t="s">
        <v>151</v>
      </c>
      <c r="E550" s="3" t="s">
        <v>122</v>
      </c>
      <c r="F550" s="9" t="s">
        <v>153</v>
      </c>
      <c r="G550" s="21"/>
      <c r="H550" s="21"/>
    </row>
    <row r="551" spans="1:8" hidden="1" x14ac:dyDescent="0.25">
      <c r="A551" s="2">
        <v>42611.75</v>
      </c>
      <c r="B551" s="3" t="str">
        <f>"02207101044"</f>
        <v>02207101044</v>
      </c>
      <c r="C551" s="3" t="s">
        <v>121</v>
      </c>
      <c r="D551" s="3" t="s">
        <v>124</v>
      </c>
      <c r="E551" s="3" t="s">
        <v>336</v>
      </c>
      <c r="F551" s="3" t="s">
        <v>123</v>
      </c>
    </row>
    <row r="552" spans="1:8" x14ac:dyDescent="0.25">
      <c r="A552" s="2">
        <v>42611.75</v>
      </c>
      <c r="B552" s="3" t="str">
        <f>"02107101044"</f>
        <v>02107101044</v>
      </c>
      <c r="C552" s="3" t="s">
        <v>120</v>
      </c>
      <c r="D552" s="3" t="s">
        <v>159</v>
      </c>
      <c r="E552" s="3" t="s">
        <v>122</v>
      </c>
      <c r="F552" s="9" t="s">
        <v>153</v>
      </c>
      <c r="G552" s="21"/>
      <c r="H552" s="21"/>
    </row>
    <row r="553" spans="1:8" x14ac:dyDescent="0.25">
      <c r="A553" s="2">
        <v>42611.75</v>
      </c>
      <c r="B553" s="3" t="str">
        <f>"02208102037"</f>
        <v>02208102037</v>
      </c>
      <c r="C553" s="3" t="s">
        <v>120</v>
      </c>
      <c r="D553" s="3" t="s">
        <v>281</v>
      </c>
      <c r="E553" s="3" t="s">
        <v>100</v>
      </c>
      <c r="F553" s="9" t="s">
        <v>200</v>
      </c>
      <c r="G553" s="21"/>
      <c r="H553" s="21"/>
    </row>
    <row r="554" spans="1:8" hidden="1" x14ac:dyDescent="0.25">
      <c r="A554" s="2">
        <v>42611.760416666664</v>
      </c>
      <c r="B554" s="3" t="str">
        <f>"02111104043"</f>
        <v>02111104043</v>
      </c>
      <c r="C554" s="3" t="s">
        <v>91</v>
      </c>
      <c r="D554" s="3" t="s">
        <v>9</v>
      </c>
      <c r="E554" s="3" t="s">
        <v>365</v>
      </c>
      <c r="F554" s="3" t="s">
        <v>119</v>
      </c>
    </row>
    <row r="555" spans="1:8" x14ac:dyDescent="0.25">
      <c r="A555" s="2">
        <v>42611.791666666664</v>
      </c>
      <c r="B555" s="3" t="str">
        <f>"02211104044"</f>
        <v>02211104044</v>
      </c>
      <c r="C555" s="3" t="s">
        <v>12</v>
      </c>
      <c r="D555" s="3" t="s">
        <v>20</v>
      </c>
      <c r="E555" s="3" t="s">
        <v>51</v>
      </c>
      <c r="F555" s="9" t="s">
        <v>132</v>
      </c>
      <c r="G555" s="21"/>
      <c r="H555" s="21"/>
    </row>
    <row r="556" spans="1:8" x14ac:dyDescent="0.25">
      <c r="A556" s="2">
        <v>42611.84375</v>
      </c>
      <c r="B556" s="3" t="str">
        <f>"02112107066"</f>
        <v>02112107066</v>
      </c>
      <c r="C556" s="3" t="s">
        <v>9</v>
      </c>
      <c r="D556" s="3" t="s">
        <v>13</v>
      </c>
      <c r="E556" s="3" t="s">
        <v>51</v>
      </c>
      <c r="F556" s="9" t="s">
        <v>69</v>
      </c>
      <c r="G556" s="21"/>
      <c r="H556" s="21"/>
    </row>
    <row r="557" spans="1:8" hidden="1" x14ac:dyDescent="0.25">
      <c r="A557" s="2">
        <v>42612.708333333336</v>
      </c>
      <c r="B557" s="3" t="str">
        <f>"02110112041"</f>
        <v>02110112041</v>
      </c>
      <c r="C557" s="3" t="s">
        <v>174</v>
      </c>
      <c r="D557" s="3" t="s">
        <v>120</v>
      </c>
      <c r="E557" s="3" t="s">
        <v>190</v>
      </c>
      <c r="F557" s="3" t="s">
        <v>175</v>
      </c>
    </row>
    <row r="558" spans="1:8" hidden="1" x14ac:dyDescent="0.25">
      <c r="A558" s="2">
        <v>42612.708333333336</v>
      </c>
      <c r="B558" s="3" t="str">
        <f>"02108102043"</f>
        <v>02108102043</v>
      </c>
      <c r="C558" s="3" t="s">
        <v>141</v>
      </c>
      <c r="D558" s="3" t="s">
        <v>120</v>
      </c>
      <c r="E558" s="3" t="s">
        <v>356</v>
      </c>
      <c r="F558" s="3" t="s">
        <v>140</v>
      </c>
    </row>
    <row r="559" spans="1:8" hidden="1" x14ac:dyDescent="0.25">
      <c r="A559" s="2">
        <v>42612.708333333336</v>
      </c>
      <c r="B559" s="3" t="str">
        <f>"02108108044"</f>
        <v>02108108044</v>
      </c>
      <c r="C559" s="3" t="s">
        <v>161</v>
      </c>
      <c r="D559" s="3" t="s">
        <v>148</v>
      </c>
      <c r="E559" s="3" t="s">
        <v>243</v>
      </c>
      <c r="F559" s="3" t="s">
        <v>150</v>
      </c>
    </row>
    <row r="560" spans="1:8" x14ac:dyDescent="0.25">
      <c r="A560" s="2">
        <v>42612.739583333336</v>
      </c>
      <c r="B560" s="3" t="str">
        <f>"02111103044"</f>
        <v>02111103044</v>
      </c>
      <c r="C560" s="3" t="s">
        <v>109</v>
      </c>
      <c r="D560" s="3" t="s">
        <v>234</v>
      </c>
      <c r="E560" s="3" t="s">
        <v>51</v>
      </c>
      <c r="F560" s="9" t="s">
        <v>110</v>
      </c>
      <c r="G560" s="21"/>
      <c r="H560" s="21"/>
    </row>
    <row r="561" spans="1:8" hidden="1" x14ac:dyDescent="0.25">
      <c r="A561" s="2">
        <v>42612.75</v>
      </c>
      <c r="B561" s="3" t="str">
        <f>"02108102044"</f>
        <v>02108102044</v>
      </c>
      <c r="C561" s="3" t="s">
        <v>139</v>
      </c>
      <c r="D561" s="3" t="s">
        <v>124</v>
      </c>
      <c r="E561" s="3" t="s">
        <v>356</v>
      </c>
      <c r="F561" s="3" t="s">
        <v>140</v>
      </c>
    </row>
    <row r="562" spans="1:8" hidden="1" x14ac:dyDescent="0.25">
      <c r="A562" s="2">
        <v>42612.75</v>
      </c>
      <c r="B562" s="3" t="str">
        <f>"02108108043"</f>
        <v>02108108043</v>
      </c>
      <c r="C562" s="3" t="s">
        <v>149</v>
      </c>
      <c r="D562" s="3" t="s">
        <v>160</v>
      </c>
      <c r="E562" s="3" t="s">
        <v>243</v>
      </c>
      <c r="F562" s="3" t="s">
        <v>150</v>
      </c>
    </row>
    <row r="563" spans="1:8" hidden="1" x14ac:dyDescent="0.25">
      <c r="A563" s="2">
        <v>42612.75</v>
      </c>
      <c r="B563" s="3" t="str">
        <f>"02110112042"</f>
        <v>02110112042</v>
      </c>
      <c r="C563" s="3" t="s">
        <v>178</v>
      </c>
      <c r="D563" s="3" t="s">
        <v>124</v>
      </c>
      <c r="E563" s="3" t="s">
        <v>190</v>
      </c>
      <c r="F563" s="3" t="s">
        <v>175</v>
      </c>
    </row>
    <row r="564" spans="1:8" hidden="1" x14ac:dyDescent="0.25">
      <c r="A564" s="2">
        <v>42612.760416666664</v>
      </c>
      <c r="B564" s="3" t="str">
        <f>"02111101043"</f>
        <v>02111101043</v>
      </c>
      <c r="C564" s="3" t="s">
        <v>185</v>
      </c>
      <c r="D564" s="3" t="s">
        <v>12</v>
      </c>
      <c r="E564" s="3" t="s">
        <v>265</v>
      </c>
      <c r="F564" s="3" t="s">
        <v>134</v>
      </c>
    </row>
    <row r="565" spans="1:8" x14ac:dyDescent="0.25">
      <c r="A565" s="2">
        <v>42612.791666666664</v>
      </c>
      <c r="B565" s="3" t="str">
        <f>"02212102069"</f>
        <v>02212102069</v>
      </c>
      <c r="C565" s="3" t="s">
        <v>9</v>
      </c>
      <c r="D565" s="3" t="s">
        <v>48</v>
      </c>
      <c r="E565" s="3" t="s">
        <v>51</v>
      </c>
      <c r="F565" s="9" t="s">
        <v>71</v>
      </c>
      <c r="G565" s="21"/>
      <c r="H565" s="21"/>
    </row>
    <row r="566" spans="1:8" hidden="1" x14ac:dyDescent="0.25">
      <c r="A566" s="2">
        <v>42612.833333333336</v>
      </c>
      <c r="B566" s="3" t="str">
        <f>"02110115042"</f>
        <v>02110115042</v>
      </c>
      <c r="C566" s="3" t="s">
        <v>280</v>
      </c>
      <c r="D566" s="3" t="s">
        <v>98</v>
      </c>
      <c r="E566" s="3" t="s">
        <v>243</v>
      </c>
      <c r="F566" s="3" t="s">
        <v>156</v>
      </c>
    </row>
    <row r="567" spans="1:8" x14ac:dyDescent="0.25">
      <c r="A567" s="2">
        <v>42613.739583333336</v>
      </c>
      <c r="B567" s="3" t="str">
        <f>"02111108069"</f>
        <v>02111108069</v>
      </c>
      <c r="C567" s="3" t="s">
        <v>50</v>
      </c>
      <c r="D567" s="3" t="s">
        <v>251</v>
      </c>
      <c r="E567" s="3" t="s">
        <v>51</v>
      </c>
      <c r="F567" s="9" t="s">
        <v>52</v>
      </c>
      <c r="G567" s="21"/>
      <c r="H567" s="21"/>
    </row>
    <row r="568" spans="1:8" hidden="1" x14ac:dyDescent="0.25">
      <c r="A568" s="2">
        <v>42613.75</v>
      </c>
      <c r="B568" s="3" t="str">
        <f>"02209102044"</f>
        <v>02209102044</v>
      </c>
      <c r="C568" s="3" t="s">
        <v>162</v>
      </c>
      <c r="D568" s="3" t="s">
        <v>124</v>
      </c>
      <c r="E568" s="3" t="s">
        <v>358</v>
      </c>
      <c r="F568" s="3" t="s">
        <v>158</v>
      </c>
    </row>
    <row r="569" spans="1:8" hidden="1" x14ac:dyDescent="0.25">
      <c r="A569" s="2">
        <v>42613.770833333336</v>
      </c>
      <c r="B569" s="3" t="str">
        <f>"02114101090"</f>
        <v>02114101090</v>
      </c>
      <c r="C569" s="3" t="s">
        <v>10</v>
      </c>
      <c r="D569" s="3" t="s">
        <v>12</v>
      </c>
      <c r="E569" s="3" t="s">
        <v>334</v>
      </c>
      <c r="F569" s="3" t="s">
        <v>38</v>
      </c>
    </row>
    <row r="570" spans="1:8" x14ac:dyDescent="0.25">
      <c r="A570" s="2">
        <v>42613.791666666664</v>
      </c>
      <c r="B570" s="3" t="str">
        <f>"02113701038"</f>
        <v>02113701038</v>
      </c>
      <c r="C570" s="3" t="s">
        <v>109</v>
      </c>
      <c r="D570" s="3" t="s">
        <v>26</v>
      </c>
      <c r="E570" s="3" t="s">
        <v>51</v>
      </c>
      <c r="F570" s="9" t="s">
        <v>131</v>
      </c>
      <c r="G570" s="21"/>
      <c r="H570" s="21"/>
    </row>
    <row r="571" spans="1:8" hidden="1" x14ac:dyDescent="0.25">
      <c r="A571" s="2">
        <v>42613.791666666664</v>
      </c>
      <c r="B571" s="3" t="str">
        <f>"02209102043"</f>
        <v>02209102043</v>
      </c>
      <c r="C571" s="3" t="s">
        <v>157</v>
      </c>
      <c r="D571" s="3" t="s">
        <v>120</v>
      </c>
      <c r="E571" s="3" t="s">
        <v>358</v>
      </c>
      <c r="F571" s="3" t="s">
        <v>158</v>
      </c>
    </row>
    <row r="572" spans="1:8" hidden="1" x14ac:dyDescent="0.25">
      <c r="A572" s="2">
        <v>42613.8125</v>
      </c>
      <c r="B572" s="3" t="str">
        <f>"02213101100"</f>
        <v>02213101100</v>
      </c>
      <c r="C572" s="3" t="s">
        <v>73</v>
      </c>
      <c r="D572" s="3" t="s">
        <v>12</v>
      </c>
      <c r="E572" s="3" t="s">
        <v>118</v>
      </c>
      <c r="F572" s="3" t="s">
        <v>19</v>
      </c>
    </row>
    <row r="573" spans="1:8" x14ac:dyDescent="0.25">
      <c r="A573" s="2">
        <v>42613.84375</v>
      </c>
      <c r="B573" s="3" t="str">
        <f>"02212101066"</f>
        <v>02212101066</v>
      </c>
      <c r="C573" s="3" t="s">
        <v>12</v>
      </c>
      <c r="D573" s="3" t="s">
        <v>179</v>
      </c>
      <c r="E573" s="3" t="s">
        <v>51</v>
      </c>
      <c r="F573" s="9" t="s">
        <v>96</v>
      </c>
      <c r="G573" s="21"/>
      <c r="H573" s="21"/>
    </row>
    <row r="574" spans="1:8" hidden="1" x14ac:dyDescent="0.25">
      <c r="A574" s="2">
        <v>42614.708333333336</v>
      </c>
      <c r="B574" s="3" t="str">
        <f>"02210102044"</f>
        <v>02210102044</v>
      </c>
      <c r="C574" s="3" t="s">
        <v>184</v>
      </c>
      <c r="D574" s="3" t="s">
        <v>124</v>
      </c>
      <c r="E574" s="3" t="s">
        <v>190</v>
      </c>
      <c r="F574" s="3" t="s">
        <v>181</v>
      </c>
    </row>
    <row r="575" spans="1:8" hidden="1" x14ac:dyDescent="0.25">
      <c r="A575" s="2">
        <v>42614.75</v>
      </c>
      <c r="B575" s="3" t="str">
        <f>"02210102043"</f>
        <v>02210102043</v>
      </c>
      <c r="C575" s="3" t="s">
        <v>180</v>
      </c>
      <c r="D575" s="3" t="s">
        <v>120</v>
      </c>
      <c r="E575" s="3" t="s">
        <v>190</v>
      </c>
      <c r="F575" s="3" t="s">
        <v>181</v>
      </c>
    </row>
    <row r="576" spans="1:8" hidden="1" x14ac:dyDescent="0.25">
      <c r="A576" s="2">
        <v>42614.8125</v>
      </c>
      <c r="B576" s="3" t="str">
        <f>"02113921069"</f>
        <v>02113921069</v>
      </c>
      <c r="C576" s="3" t="s">
        <v>72</v>
      </c>
      <c r="D576" s="3" t="s">
        <v>25</v>
      </c>
      <c r="E576" s="3" t="s">
        <v>118</v>
      </c>
      <c r="F576" s="3" t="s">
        <v>56</v>
      </c>
    </row>
    <row r="577" spans="1:8" hidden="1" x14ac:dyDescent="0.25">
      <c r="A577" s="2">
        <v>42615.75</v>
      </c>
      <c r="B577" s="3" t="str">
        <f>"02113932041"</f>
        <v>02113932041</v>
      </c>
      <c r="C577" s="3" t="s">
        <v>223</v>
      </c>
      <c r="D577" s="3" t="s">
        <v>62</v>
      </c>
      <c r="E577" s="3" t="s">
        <v>118</v>
      </c>
      <c r="F577" s="3" t="s">
        <v>183</v>
      </c>
    </row>
    <row r="578" spans="1:8" hidden="1" x14ac:dyDescent="0.25">
      <c r="A578" s="2">
        <v>42616.541666666664</v>
      </c>
      <c r="B578" s="3" t="str">
        <f>"02111111041"</f>
        <v>02111111041</v>
      </c>
      <c r="C578" s="3" t="s">
        <v>72</v>
      </c>
      <c r="D578" s="3" t="s">
        <v>25</v>
      </c>
      <c r="E578" s="3" t="s">
        <v>118</v>
      </c>
      <c r="F578" s="3" t="s">
        <v>167</v>
      </c>
    </row>
    <row r="579" spans="1:8" hidden="1" x14ac:dyDescent="0.25">
      <c r="A579" s="2">
        <v>42616.583333333336</v>
      </c>
      <c r="B579" s="3" t="str">
        <f>"02116101108"</f>
        <v>02116101108</v>
      </c>
      <c r="C579" s="3" t="s">
        <v>10</v>
      </c>
      <c r="D579" s="3" t="s">
        <v>12</v>
      </c>
      <c r="E579" s="3" t="s">
        <v>334</v>
      </c>
      <c r="F579" s="3" t="s">
        <v>16</v>
      </c>
    </row>
    <row r="580" spans="1:8" hidden="1" x14ac:dyDescent="0.25">
      <c r="A580" s="2">
        <v>42617.489583333336</v>
      </c>
      <c r="B580" s="3" t="str">
        <f>"02111109074"</f>
        <v>02111109074</v>
      </c>
      <c r="C580" s="3" t="s">
        <v>279</v>
      </c>
      <c r="D580" s="3" t="s">
        <v>62</v>
      </c>
      <c r="E580" s="3" t="s">
        <v>189</v>
      </c>
      <c r="F580" s="3" t="s">
        <v>64</v>
      </c>
    </row>
    <row r="581" spans="1:8" hidden="1" x14ac:dyDescent="0.25">
      <c r="A581" s="2">
        <v>42617.5</v>
      </c>
      <c r="B581" s="3" t="str">
        <f>"02209105048"</f>
        <v>02209105048</v>
      </c>
      <c r="C581" s="3" t="s">
        <v>311</v>
      </c>
      <c r="D581" s="3" t="s">
        <v>98</v>
      </c>
      <c r="E581" s="3" t="s">
        <v>379</v>
      </c>
      <c r="F581" s="3" t="s">
        <v>101</v>
      </c>
    </row>
    <row r="582" spans="1:8" hidden="1" x14ac:dyDescent="0.25">
      <c r="A582" s="2">
        <v>42617.583333333336</v>
      </c>
      <c r="B582" s="3" t="str">
        <f>"02107101048"</f>
        <v>02107101048</v>
      </c>
      <c r="C582" s="3" t="s">
        <v>212</v>
      </c>
      <c r="D582" s="3" t="s">
        <v>120</v>
      </c>
      <c r="E582" s="3" t="s">
        <v>266</v>
      </c>
      <c r="F582" s="3" t="s">
        <v>153</v>
      </c>
    </row>
    <row r="583" spans="1:8" hidden="1" x14ac:dyDescent="0.25">
      <c r="A583" s="2">
        <v>42617.625</v>
      </c>
      <c r="B583" s="3" t="str">
        <f>"02107101047"</f>
        <v>02107101047</v>
      </c>
      <c r="C583" s="3" t="s">
        <v>207</v>
      </c>
      <c r="D583" s="3" t="s">
        <v>124</v>
      </c>
      <c r="E583" s="3" t="s">
        <v>266</v>
      </c>
      <c r="F583" s="3" t="s">
        <v>153</v>
      </c>
    </row>
    <row r="584" spans="1:8" hidden="1" x14ac:dyDescent="0.25">
      <c r="A584" s="2">
        <v>42617.677083333336</v>
      </c>
      <c r="B584" s="3" t="str">
        <f>"02119101098"</f>
        <v>02119101098</v>
      </c>
      <c r="C584" s="3" t="s">
        <v>179</v>
      </c>
      <c r="D584" s="3" t="s">
        <v>12</v>
      </c>
      <c r="E584" s="3" t="s">
        <v>229</v>
      </c>
      <c r="F584" s="3" t="s">
        <v>24</v>
      </c>
    </row>
    <row r="585" spans="1:8" x14ac:dyDescent="0.25">
      <c r="A585" s="2">
        <v>42618.708333333336</v>
      </c>
      <c r="B585" s="3" t="str">
        <f>"02108105044"</f>
        <v>02108105044</v>
      </c>
      <c r="C585" s="3" t="s">
        <v>98</v>
      </c>
      <c r="D585" s="3" t="s">
        <v>111</v>
      </c>
      <c r="E585" s="3" t="s">
        <v>122</v>
      </c>
      <c r="F585" s="9" t="s">
        <v>114</v>
      </c>
      <c r="G585" s="21"/>
      <c r="H585" s="21"/>
    </row>
    <row r="586" spans="1:8" x14ac:dyDescent="0.25">
      <c r="A586" s="2">
        <v>42618.708333333336</v>
      </c>
      <c r="B586" s="3" t="str">
        <f>"02207101045"</f>
        <v>02207101045</v>
      </c>
      <c r="C586" s="3" t="s">
        <v>120</v>
      </c>
      <c r="D586" s="3" t="s">
        <v>171</v>
      </c>
      <c r="E586" s="3" t="s">
        <v>100</v>
      </c>
      <c r="F586" s="9" t="s">
        <v>123</v>
      </c>
      <c r="G586" s="21"/>
      <c r="H586" s="21"/>
    </row>
    <row r="587" spans="1:8" x14ac:dyDescent="0.25">
      <c r="A587" s="2">
        <v>42618.75</v>
      </c>
      <c r="B587" s="3" t="str">
        <f>"02207101046"</f>
        <v>02207101046</v>
      </c>
      <c r="C587" s="3" t="s">
        <v>124</v>
      </c>
      <c r="D587" s="3" t="s">
        <v>198</v>
      </c>
      <c r="E587" s="3" t="s">
        <v>100</v>
      </c>
      <c r="F587" s="9" t="s">
        <v>123</v>
      </c>
      <c r="G587" s="21"/>
      <c r="H587" s="21"/>
    </row>
    <row r="588" spans="1:8" x14ac:dyDescent="0.25">
      <c r="A588" s="2">
        <v>42618.75</v>
      </c>
      <c r="B588" s="3" t="str">
        <f>"02108105043"</f>
        <v>02108105043</v>
      </c>
      <c r="C588" s="3" t="s">
        <v>112</v>
      </c>
      <c r="D588" s="3" t="s">
        <v>116</v>
      </c>
      <c r="E588" s="3" t="s">
        <v>122</v>
      </c>
      <c r="F588" s="9" t="s">
        <v>114</v>
      </c>
      <c r="G588" s="21"/>
      <c r="H588" s="21"/>
    </row>
    <row r="589" spans="1:8" hidden="1" x14ac:dyDescent="0.25">
      <c r="A589" s="2">
        <v>42618.770833333336</v>
      </c>
      <c r="B589" s="3" t="str">
        <f>"02114201111"</f>
        <v>02114201111</v>
      </c>
      <c r="C589" s="3" t="s">
        <v>55</v>
      </c>
      <c r="D589" s="3" t="s">
        <v>9</v>
      </c>
      <c r="E589" s="3" t="s">
        <v>380</v>
      </c>
      <c r="F589" s="3" t="s">
        <v>22</v>
      </c>
    </row>
    <row r="590" spans="1:8" hidden="1" x14ac:dyDescent="0.25">
      <c r="A590" s="2">
        <v>42618.770833333336</v>
      </c>
      <c r="B590" s="3" t="str">
        <f>"02211104048"</f>
        <v>02211104048</v>
      </c>
      <c r="C590" s="3" t="s">
        <v>305</v>
      </c>
      <c r="D590" s="3" t="s">
        <v>12</v>
      </c>
      <c r="E590" s="3" t="s">
        <v>381</v>
      </c>
      <c r="F590" s="3" t="s">
        <v>132</v>
      </c>
    </row>
    <row r="591" spans="1:8" hidden="1" x14ac:dyDescent="0.25">
      <c r="A591" s="2">
        <v>42618.770833333336</v>
      </c>
      <c r="B591" s="3" t="str">
        <f>"02114932110"</f>
        <v>02114932110</v>
      </c>
      <c r="C591" s="3" t="s">
        <v>286</v>
      </c>
      <c r="D591" s="3" t="s">
        <v>25</v>
      </c>
      <c r="E591" s="3" t="s">
        <v>382</v>
      </c>
      <c r="F591" s="3" t="s">
        <v>27</v>
      </c>
    </row>
    <row r="592" spans="1:8" x14ac:dyDescent="0.25">
      <c r="A592" s="2">
        <v>42618.791666666664</v>
      </c>
      <c r="B592" s="3" t="str">
        <f>"02111104046"</f>
        <v>02111104046</v>
      </c>
      <c r="C592" s="3" t="s">
        <v>9</v>
      </c>
      <c r="D592" s="3" t="s">
        <v>26</v>
      </c>
      <c r="E592" s="3" t="s">
        <v>51</v>
      </c>
      <c r="F592" s="9" t="s">
        <v>119</v>
      </c>
      <c r="G592" s="21"/>
      <c r="H592" s="21"/>
    </row>
    <row r="593" spans="1:8" hidden="1" x14ac:dyDescent="0.25">
      <c r="A593" s="2">
        <v>42618.84375</v>
      </c>
      <c r="B593" s="3" t="str">
        <f>"02120401138"</f>
        <v>02120401138</v>
      </c>
      <c r="C593" s="3" t="s">
        <v>187</v>
      </c>
      <c r="D593" s="3" t="s">
        <v>12</v>
      </c>
      <c r="E593" s="3" t="s">
        <v>117</v>
      </c>
      <c r="F593" s="3" t="s">
        <v>14</v>
      </c>
    </row>
    <row r="594" spans="1:8" x14ac:dyDescent="0.25">
      <c r="A594" s="2">
        <v>42618.84375</v>
      </c>
      <c r="B594" s="3" t="str">
        <f>"02112105046"</f>
        <v>02112105046</v>
      </c>
      <c r="C594" s="3" t="s">
        <v>12</v>
      </c>
      <c r="D594" s="3" t="s">
        <v>185</v>
      </c>
      <c r="E594" s="3" t="s">
        <v>51</v>
      </c>
      <c r="F594" s="9" t="s">
        <v>79</v>
      </c>
      <c r="G594" s="21"/>
      <c r="H594" s="21"/>
    </row>
    <row r="595" spans="1:8" hidden="1" x14ac:dyDescent="0.25">
      <c r="A595" s="2">
        <v>42619.708333333336</v>
      </c>
      <c r="B595" s="3" t="str">
        <f>"02208102043"</f>
        <v>02208102043</v>
      </c>
      <c r="C595" s="3" t="s">
        <v>201</v>
      </c>
      <c r="D595" s="3" t="s">
        <v>120</v>
      </c>
      <c r="E595" s="3" t="s">
        <v>361</v>
      </c>
      <c r="F595" s="3" t="s">
        <v>200</v>
      </c>
    </row>
    <row r="596" spans="1:8" x14ac:dyDescent="0.25">
      <c r="A596" s="2">
        <v>42619.708333333336</v>
      </c>
      <c r="B596" s="3" t="str">
        <f>"02107114046"</f>
        <v>02107114046</v>
      </c>
      <c r="C596" s="3" t="s">
        <v>98</v>
      </c>
      <c r="D596" s="3" t="s">
        <v>303</v>
      </c>
      <c r="E596" s="3" t="s">
        <v>100</v>
      </c>
      <c r="F596" s="9" t="s">
        <v>164</v>
      </c>
      <c r="G596" s="21"/>
      <c r="H596" s="21"/>
    </row>
    <row r="597" spans="1:8" x14ac:dyDescent="0.25">
      <c r="A597" s="2">
        <v>42619.708333333336</v>
      </c>
      <c r="B597" s="3" t="str">
        <f>"02109105043"</f>
        <v>02109105043</v>
      </c>
      <c r="C597" s="3" t="s">
        <v>112</v>
      </c>
      <c r="D597" s="3" t="s">
        <v>168</v>
      </c>
      <c r="E597" s="3" t="s">
        <v>122</v>
      </c>
      <c r="F597" s="9" t="s">
        <v>170</v>
      </c>
      <c r="G597" s="21"/>
      <c r="H597" s="21"/>
    </row>
    <row r="598" spans="1:8" hidden="1" x14ac:dyDescent="0.25">
      <c r="A598" s="2">
        <v>42619.729166666664</v>
      </c>
      <c r="B598" s="3" t="str">
        <f>"02112107072"</f>
        <v>02112107072</v>
      </c>
      <c r="C598" s="3" t="s">
        <v>234</v>
      </c>
      <c r="D598" s="3" t="s">
        <v>9</v>
      </c>
      <c r="E598" s="3" t="s">
        <v>302</v>
      </c>
      <c r="F598" s="3" t="s">
        <v>69</v>
      </c>
    </row>
    <row r="599" spans="1:8" x14ac:dyDescent="0.25">
      <c r="A599" s="2">
        <v>42619.75</v>
      </c>
      <c r="B599" s="3" t="str">
        <f>"02109105044"</f>
        <v>02109105044</v>
      </c>
      <c r="C599" s="3" t="s">
        <v>98</v>
      </c>
      <c r="D599" s="3" t="s">
        <v>176</v>
      </c>
      <c r="E599" s="3" t="s">
        <v>122</v>
      </c>
      <c r="F599" s="9" t="s">
        <v>170</v>
      </c>
      <c r="G599" s="21"/>
      <c r="H599" s="21"/>
    </row>
    <row r="600" spans="1:8" x14ac:dyDescent="0.25">
      <c r="A600" s="2">
        <v>42619.75</v>
      </c>
      <c r="B600" s="3" t="str">
        <f>"02110112048"</f>
        <v>02110112048</v>
      </c>
      <c r="C600" s="3" t="s">
        <v>120</v>
      </c>
      <c r="D600" s="3" t="s">
        <v>217</v>
      </c>
      <c r="E600" s="3" t="s">
        <v>100</v>
      </c>
      <c r="F600" s="9" t="s">
        <v>175</v>
      </c>
      <c r="G600" s="21"/>
      <c r="H600" s="21"/>
    </row>
    <row r="601" spans="1:8" hidden="1" x14ac:dyDescent="0.25">
      <c r="A601" s="2">
        <v>42619.760416666664</v>
      </c>
      <c r="B601" s="3" t="str">
        <f>"02139701038"</f>
        <v>02139701038</v>
      </c>
      <c r="C601" s="3" t="s">
        <v>95</v>
      </c>
      <c r="D601" s="3" t="s">
        <v>12</v>
      </c>
      <c r="E601" s="3" t="s">
        <v>144</v>
      </c>
      <c r="F601" s="3" t="s">
        <v>92</v>
      </c>
    </row>
    <row r="602" spans="1:8" hidden="1" x14ac:dyDescent="0.25">
      <c r="A602" s="2">
        <v>42619.770833333336</v>
      </c>
      <c r="B602" s="3" t="str">
        <f>"02220401100"</f>
        <v>02220401100</v>
      </c>
      <c r="C602" s="3" t="s">
        <v>165</v>
      </c>
      <c r="D602" s="3" t="s">
        <v>12</v>
      </c>
      <c r="E602" s="3" t="s">
        <v>145</v>
      </c>
      <c r="F602" s="3" t="s">
        <v>29</v>
      </c>
    </row>
    <row r="603" spans="1:8" x14ac:dyDescent="0.25">
      <c r="A603" s="2">
        <v>42619.791666666664</v>
      </c>
      <c r="B603" s="3" t="str">
        <f>"02110112047"</f>
        <v>02110112047</v>
      </c>
      <c r="C603" s="3" t="s">
        <v>124</v>
      </c>
      <c r="D603" s="3" t="s">
        <v>214</v>
      </c>
      <c r="E603" s="3" t="s">
        <v>100</v>
      </c>
      <c r="F603" s="9" t="s">
        <v>175</v>
      </c>
      <c r="G603" s="21"/>
      <c r="H603" s="21"/>
    </row>
    <row r="604" spans="1:8" x14ac:dyDescent="0.25">
      <c r="A604" s="2">
        <v>42619.84375</v>
      </c>
      <c r="B604" s="3" t="str">
        <f>"02111101046"</f>
        <v>02111101046</v>
      </c>
      <c r="C604" s="3" t="s">
        <v>12</v>
      </c>
      <c r="D604" s="3" t="s">
        <v>70</v>
      </c>
      <c r="E604" s="3" t="s">
        <v>51</v>
      </c>
      <c r="F604" s="9" t="s">
        <v>134</v>
      </c>
      <c r="G604" s="21"/>
      <c r="H604" s="21"/>
    </row>
    <row r="605" spans="1:8" x14ac:dyDescent="0.25">
      <c r="A605" s="2">
        <v>42620.75</v>
      </c>
      <c r="B605" s="3" t="str">
        <f>"02209102046"</f>
        <v>02209102046</v>
      </c>
      <c r="C605" s="3" t="s">
        <v>124</v>
      </c>
      <c r="D605" s="3" t="s">
        <v>218</v>
      </c>
      <c r="E605" s="3" t="s">
        <v>100</v>
      </c>
      <c r="F605" s="9" t="s">
        <v>158</v>
      </c>
      <c r="G605" s="21"/>
      <c r="H605" s="21"/>
    </row>
    <row r="606" spans="1:8" x14ac:dyDescent="0.25">
      <c r="A606" s="2">
        <v>42620.75</v>
      </c>
      <c r="B606" s="3" t="str">
        <f>"02108108045"</f>
        <v>02108108045</v>
      </c>
      <c r="C606" s="3" t="s">
        <v>160</v>
      </c>
      <c r="D606" s="3" t="s">
        <v>208</v>
      </c>
      <c r="E606" s="3" t="s">
        <v>122</v>
      </c>
      <c r="F606" s="9" t="s">
        <v>150</v>
      </c>
      <c r="G606" s="21"/>
      <c r="H606" s="21"/>
    </row>
    <row r="607" spans="1:8" hidden="1" x14ac:dyDescent="0.25">
      <c r="A607" s="2">
        <v>42620.760416666664</v>
      </c>
      <c r="B607" s="3" t="str">
        <f>"02212102073"</f>
        <v>02212102073</v>
      </c>
      <c r="C607" s="3" t="s">
        <v>231</v>
      </c>
      <c r="D607" s="3" t="s">
        <v>9</v>
      </c>
      <c r="E607" s="3" t="s">
        <v>327</v>
      </c>
      <c r="F607" s="3" t="s">
        <v>71</v>
      </c>
    </row>
    <row r="608" spans="1:8" hidden="1" x14ac:dyDescent="0.25">
      <c r="A608" s="2">
        <v>42620.770833333336</v>
      </c>
      <c r="B608" s="3" t="str">
        <f>"02116301072"</f>
        <v>02116301072</v>
      </c>
      <c r="C608" s="3" t="s">
        <v>276</v>
      </c>
      <c r="D608" s="3" t="s">
        <v>87</v>
      </c>
      <c r="E608" s="3" t="s">
        <v>383</v>
      </c>
      <c r="F608" s="3" t="s">
        <v>89</v>
      </c>
    </row>
    <row r="609" spans="1:8" hidden="1" x14ac:dyDescent="0.25">
      <c r="A609" s="2">
        <v>42620.78125</v>
      </c>
      <c r="B609" s="3" t="str">
        <f>"02114101093"</f>
        <v>02114101093</v>
      </c>
      <c r="C609" s="3" t="s">
        <v>95</v>
      </c>
      <c r="D609" s="3" t="s">
        <v>12</v>
      </c>
      <c r="E609" s="3" t="s">
        <v>97</v>
      </c>
      <c r="F609" s="3" t="s">
        <v>38</v>
      </c>
    </row>
    <row r="610" spans="1:8" hidden="1" x14ac:dyDescent="0.25">
      <c r="A610" s="2">
        <v>42620.791666666664</v>
      </c>
      <c r="B610" s="3" t="str">
        <f>"02208102044"</f>
        <v>02208102044</v>
      </c>
      <c r="C610" s="3" t="s">
        <v>199</v>
      </c>
      <c r="D610" s="3" t="s">
        <v>124</v>
      </c>
      <c r="E610" s="3" t="s">
        <v>113</v>
      </c>
      <c r="F610" s="3" t="s">
        <v>200</v>
      </c>
    </row>
    <row r="611" spans="1:8" x14ac:dyDescent="0.25">
      <c r="A611" s="2">
        <v>42620.791666666664</v>
      </c>
      <c r="B611" s="3" t="str">
        <f>"02209102045"</f>
        <v>02209102045</v>
      </c>
      <c r="C611" s="3" t="s">
        <v>120</v>
      </c>
      <c r="D611" s="3" t="s">
        <v>210</v>
      </c>
      <c r="E611" s="3" t="s">
        <v>100</v>
      </c>
      <c r="F611" s="9" t="s">
        <v>158</v>
      </c>
      <c r="G611" s="21"/>
      <c r="H611" s="21"/>
    </row>
    <row r="612" spans="1:8" x14ac:dyDescent="0.25">
      <c r="A612" s="2">
        <v>42620.791666666664</v>
      </c>
      <c r="B612" s="3" t="str">
        <f>"02108108046"</f>
        <v>02108108046</v>
      </c>
      <c r="C612" s="3" t="s">
        <v>148</v>
      </c>
      <c r="D612" s="3" t="s">
        <v>213</v>
      </c>
      <c r="E612" s="3" t="s">
        <v>122</v>
      </c>
      <c r="F612" s="9" t="s">
        <v>150</v>
      </c>
      <c r="G612" s="21"/>
      <c r="H612" s="21"/>
    </row>
    <row r="613" spans="1:8" x14ac:dyDescent="0.25">
      <c r="A613" s="2">
        <v>42620.84375</v>
      </c>
      <c r="B613" s="3" t="str">
        <f>"02111111045"</f>
        <v>02111111045</v>
      </c>
      <c r="C613" s="3" t="s">
        <v>25</v>
      </c>
      <c r="D613" s="3" t="s">
        <v>246</v>
      </c>
      <c r="E613" s="3" t="s">
        <v>51</v>
      </c>
      <c r="F613" s="9" t="s">
        <v>167</v>
      </c>
      <c r="G613" s="21"/>
      <c r="H613" s="21"/>
    </row>
    <row r="614" spans="1:8" hidden="1" x14ac:dyDescent="0.25">
      <c r="A614" s="2">
        <v>42620.84375</v>
      </c>
      <c r="B614" s="3" t="str">
        <f>"02119202112"</f>
        <v>02119202112</v>
      </c>
      <c r="C614" s="3" t="s">
        <v>36</v>
      </c>
      <c r="D614" s="3" t="s">
        <v>9</v>
      </c>
      <c r="E614" s="3" t="s">
        <v>37</v>
      </c>
      <c r="F614" s="3" t="s">
        <v>11</v>
      </c>
    </row>
    <row r="615" spans="1:8" hidden="1" x14ac:dyDescent="0.25">
      <c r="A615" s="2">
        <v>42621.708333333336</v>
      </c>
      <c r="B615" s="3" t="str">
        <f>"02110114048"</f>
        <v>02110114048</v>
      </c>
      <c r="C615" s="3" t="s">
        <v>315</v>
      </c>
      <c r="D615" s="3" t="s">
        <v>112</v>
      </c>
      <c r="E615" s="3" t="s">
        <v>155</v>
      </c>
      <c r="F615" s="3" t="s">
        <v>143</v>
      </c>
    </row>
    <row r="616" spans="1:8" x14ac:dyDescent="0.25">
      <c r="A616" s="2">
        <v>42621.708333333336</v>
      </c>
      <c r="B616" s="3" t="str">
        <f>"02108102045"</f>
        <v>02108102045</v>
      </c>
      <c r="C616" s="3" t="s">
        <v>120</v>
      </c>
      <c r="D616" s="3" t="s">
        <v>174</v>
      </c>
      <c r="E616" s="3" t="s">
        <v>122</v>
      </c>
      <c r="F616" s="9" t="s">
        <v>140</v>
      </c>
      <c r="G616" s="21"/>
      <c r="H616" s="21"/>
    </row>
    <row r="617" spans="1:8" x14ac:dyDescent="0.25">
      <c r="A617" s="2">
        <v>42621.75</v>
      </c>
      <c r="B617" s="3" t="str">
        <f>"02210102046"</f>
        <v>02210102046</v>
      </c>
      <c r="C617" s="3" t="s">
        <v>124</v>
      </c>
      <c r="D617" s="3" t="s">
        <v>198</v>
      </c>
      <c r="E617" s="3" t="s">
        <v>100</v>
      </c>
      <c r="F617" s="9" t="s">
        <v>181</v>
      </c>
      <c r="G617" s="21"/>
      <c r="H617" s="21"/>
    </row>
    <row r="618" spans="1:8" x14ac:dyDescent="0.25">
      <c r="A618" s="2">
        <v>42621.75</v>
      </c>
      <c r="B618" s="3" t="str">
        <f>"02108102046"</f>
        <v>02108102046</v>
      </c>
      <c r="C618" s="3" t="s">
        <v>124</v>
      </c>
      <c r="D618" s="3" t="s">
        <v>178</v>
      </c>
      <c r="E618" s="3" t="s">
        <v>122</v>
      </c>
      <c r="F618" s="9" t="s">
        <v>140</v>
      </c>
      <c r="G618" s="21"/>
      <c r="H618" s="21"/>
    </row>
    <row r="619" spans="1:8" hidden="1" x14ac:dyDescent="0.25">
      <c r="A619" s="2">
        <v>42621.770833333336</v>
      </c>
      <c r="B619" s="3" t="str">
        <f>"02114941051"</f>
        <v>02114941051</v>
      </c>
      <c r="C619" s="3" t="s">
        <v>337</v>
      </c>
      <c r="D619" s="3" t="s">
        <v>62</v>
      </c>
      <c r="E619" s="3" t="s">
        <v>327</v>
      </c>
      <c r="F619" s="3" t="s">
        <v>129</v>
      </c>
    </row>
    <row r="620" spans="1:8" x14ac:dyDescent="0.25">
      <c r="A620" s="2">
        <v>42621.791666666664</v>
      </c>
      <c r="B620" s="3" t="str">
        <f>"02109106042"</f>
        <v>02109106042</v>
      </c>
      <c r="C620" s="3" t="s">
        <v>120</v>
      </c>
      <c r="D620" s="3" t="s">
        <v>171</v>
      </c>
      <c r="E620" s="3" t="s">
        <v>122</v>
      </c>
      <c r="F620" s="9" t="s">
        <v>173</v>
      </c>
      <c r="G620" s="21"/>
      <c r="H620" s="21"/>
    </row>
    <row r="621" spans="1:8" hidden="1" x14ac:dyDescent="0.25">
      <c r="A621" s="2">
        <v>42621.791666666664</v>
      </c>
      <c r="B621" s="3" t="str">
        <f>"02110115047"</f>
        <v>02110115047</v>
      </c>
      <c r="C621" s="3" t="s">
        <v>309</v>
      </c>
      <c r="D621" s="3" t="s">
        <v>98</v>
      </c>
      <c r="E621" s="3" t="s">
        <v>384</v>
      </c>
      <c r="F621" s="3" t="s">
        <v>156</v>
      </c>
    </row>
    <row r="622" spans="1:8" x14ac:dyDescent="0.25">
      <c r="A622" s="2">
        <v>42621.791666666664</v>
      </c>
      <c r="B622" s="3" t="str">
        <f>"02210102045"</f>
        <v>02210102045</v>
      </c>
      <c r="C622" s="3" t="s">
        <v>120</v>
      </c>
      <c r="D622" s="3" t="s">
        <v>171</v>
      </c>
      <c r="E622" s="3" t="s">
        <v>100</v>
      </c>
      <c r="F622" s="9" t="s">
        <v>181</v>
      </c>
      <c r="G622" s="21"/>
      <c r="H622" s="21"/>
    </row>
    <row r="623" spans="1:8" hidden="1" x14ac:dyDescent="0.25">
      <c r="A623" s="2">
        <v>42621.8125</v>
      </c>
      <c r="B623" s="3" t="str">
        <f>"02212101072"</f>
        <v>02212101072</v>
      </c>
      <c r="C623" s="3" t="s">
        <v>82</v>
      </c>
      <c r="D623" s="3" t="s">
        <v>12</v>
      </c>
      <c r="E623" s="3" t="s">
        <v>302</v>
      </c>
      <c r="F623" s="3" t="s">
        <v>96</v>
      </c>
    </row>
    <row r="624" spans="1:8" x14ac:dyDescent="0.25">
      <c r="A624" s="2">
        <v>42621.833333333336</v>
      </c>
      <c r="B624" s="3" t="str">
        <f>"02109106041"</f>
        <v>02109106041</v>
      </c>
      <c r="C624" s="3" t="s">
        <v>124</v>
      </c>
      <c r="D624" s="3" t="s">
        <v>177</v>
      </c>
      <c r="E624" s="3" t="s">
        <v>122</v>
      </c>
      <c r="F624" s="9" t="s">
        <v>173</v>
      </c>
      <c r="G624" s="21"/>
      <c r="H624" s="21"/>
    </row>
    <row r="625" spans="1:8" hidden="1" x14ac:dyDescent="0.25">
      <c r="A625" s="2">
        <v>42622.708333333336</v>
      </c>
      <c r="B625" s="3" t="str">
        <f>"02108105048"</f>
        <v>02108105048</v>
      </c>
      <c r="C625" s="3" t="s">
        <v>197</v>
      </c>
      <c r="D625" s="3" t="s">
        <v>98</v>
      </c>
      <c r="E625" s="3" t="s">
        <v>374</v>
      </c>
      <c r="F625" s="3" t="s">
        <v>114</v>
      </c>
    </row>
    <row r="626" spans="1:8" hidden="1" x14ac:dyDescent="0.25">
      <c r="A626" s="2">
        <v>42622.75</v>
      </c>
      <c r="B626" s="3" t="str">
        <f>"02109105048"</f>
        <v>02109105048</v>
      </c>
      <c r="C626" s="3" t="s">
        <v>121</v>
      </c>
      <c r="D626" s="3" t="s">
        <v>98</v>
      </c>
      <c r="E626" s="3" t="s">
        <v>375</v>
      </c>
      <c r="F626" s="3" t="s">
        <v>170</v>
      </c>
    </row>
    <row r="627" spans="1:8" hidden="1" x14ac:dyDescent="0.25">
      <c r="A627" s="2">
        <v>42622.75</v>
      </c>
      <c r="B627" s="3" t="str">
        <f>"02108105047"</f>
        <v>02108105047</v>
      </c>
      <c r="C627" s="3" t="s">
        <v>202</v>
      </c>
      <c r="D627" s="3" t="s">
        <v>112</v>
      </c>
      <c r="E627" s="3" t="s">
        <v>374</v>
      </c>
      <c r="F627" s="3" t="s">
        <v>114</v>
      </c>
    </row>
    <row r="628" spans="1:8" hidden="1" x14ac:dyDescent="0.25">
      <c r="A628" s="2">
        <v>42622.760416666664</v>
      </c>
      <c r="B628" s="3" t="str">
        <f>"02111108073"</f>
        <v>02111108073</v>
      </c>
      <c r="C628" s="3" t="s">
        <v>291</v>
      </c>
      <c r="D628" s="3" t="s">
        <v>50</v>
      </c>
      <c r="E628" s="3" t="s">
        <v>306</v>
      </c>
      <c r="F628" s="3" t="s">
        <v>52</v>
      </c>
    </row>
    <row r="629" spans="1:8" hidden="1" x14ac:dyDescent="0.25">
      <c r="A629" s="2">
        <v>42622.770833333336</v>
      </c>
      <c r="B629" s="3" t="str">
        <f>"02213301110"</f>
        <v>02213301110</v>
      </c>
      <c r="C629" s="3" t="s">
        <v>82</v>
      </c>
      <c r="D629" s="3" t="s">
        <v>32</v>
      </c>
      <c r="E629" s="3" t="s">
        <v>302</v>
      </c>
      <c r="F629" s="3" t="s">
        <v>35</v>
      </c>
    </row>
    <row r="630" spans="1:8" hidden="1" x14ac:dyDescent="0.25">
      <c r="A630" s="2">
        <v>42622.791666666664</v>
      </c>
      <c r="B630" s="3" t="str">
        <f>"02109105047"</f>
        <v>02109105047</v>
      </c>
      <c r="C630" s="3" t="s">
        <v>125</v>
      </c>
      <c r="D630" s="3" t="s">
        <v>112</v>
      </c>
      <c r="E630" s="3" t="s">
        <v>375</v>
      </c>
      <c r="F630" s="3" t="s">
        <v>170</v>
      </c>
    </row>
    <row r="631" spans="1:8" hidden="1" x14ac:dyDescent="0.25">
      <c r="A631" s="2">
        <v>42623.541666666664</v>
      </c>
      <c r="B631" s="3" t="str">
        <f>"02113922074"</f>
        <v>02113922074</v>
      </c>
      <c r="C631" s="3" t="s">
        <v>195</v>
      </c>
      <c r="D631" s="3" t="s">
        <v>9</v>
      </c>
      <c r="E631" s="3" t="s">
        <v>188</v>
      </c>
      <c r="F631" s="3" t="s">
        <v>45</v>
      </c>
    </row>
    <row r="632" spans="1:8" hidden="1" x14ac:dyDescent="0.25">
      <c r="A632" s="2">
        <v>42623.541666666664</v>
      </c>
      <c r="B632" s="3" t="str">
        <f>"02111103048"</f>
        <v>02111103048</v>
      </c>
      <c r="C632" s="3" t="s">
        <v>317</v>
      </c>
      <c r="D632" s="3" t="s">
        <v>109</v>
      </c>
      <c r="E632" s="3" t="s">
        <v>329</v>
      </c>
      <c r="F632" s="3" t="s">
        <v>110</v>
      </c>
    </row>
    <row r="633" spans="1:8" hidden="1" x14ac:dyDescent="0.25">
      <c r="A633" s="2">
        <v>42624.5</v>
      </c>
      <c r="B633" s="3" t="str">
        <f>"02109106046"</f>
        <v>02109106046</v>
      </c>
      <c r="C633" s="3" t="s">
        <v>174</v>
      </c>
      <c r="D633" s="3" t="s">
        <v>120</v>
      </c>
      <c r="E633" s="3" t="s">
        <v>190</v>
      </c>
      <c r="F633" s="3" t="s">
        <v>173</v>
      </c>
    </row>
    <row r="634" spans="1:8" hidden="1" x14ac:dyDescent="0.25">
      <c r="A634" s="2">
        <v>42624.541666666664</v>
      </c>
      <c r="B634" s="3" t="str">
        <f>"02109106045"</f>
        <v>02109106045</v>
      </c>
      <c r="C634" s="3" t="s">
        <v>178</v>
      </c>
      <c r="D634" s="3" t="s">
        <v>124</v>
      </c>
      <c r="E634" s="3" t="s">
        <v>190</v>
      </c>
      <c r="F634" s="3" t="s">
        <v>173</v>
      </c>
    </row>
    <row r="635" spans="1:8" hidden="1" x14ac:dyDescent="0.25">
      <c r="A635" s="2">
        <v>42625.708333333336</v>
      </c>
      <c r="B635" s="3" t="str">
        <f>"02107114049"</f>
        <v>02107114049</v>
      </c>
      <c r="C635" s="3" t="s">
        <v>116</v>
      </c>
      <c r="D635" s="3" t="s">
        <v>98</v>
      </c>
      <c r="E635" s="3" t="s">
        <v>322</v>
      </c>
      <c r="F635" s="3" t="s">
        <v>164</v>
      </c>
    </row>
    <row r="636" spans="1:8" hidden="1" x14ac:dyDescent="0.25">
      <c r="A636" s="2">
        <v>42625.75</v>
      </c>
      <c r="B636" s="3" t="str">
        <f>"02207103051"</f>
        <v>02207103051</v>
      </c>
      <c r="C636" s="3" t="s">
        <v>324</v>
      </c>
      <c r="D636" s="3" t="s">
        <v>98</v>
      </c>
      <c r="E636" s="3" t="s">
        <v>370</v>
      </c>
      <c r="F636" s="3" t="s">
        <v>127</v>
      </c>
    </row>
    <row r="637" spans="1:8" x14ac:dyDescent="0.25">
      <c r="A637" s="2">
        <v>42625.75</v>
      </c>
      <c r="B637" s="3" t="str">
        <f>"02110112049"</f>
        <v>02110112049</v>
      </c>
      <c r="C637" s="3" t="s">
        <v>120</v>
      </c>
      <c r="D637" s="3" t="s">
        <v>255</v>
      </c>
      <c r="E637" s="3" t="s">
        <v>100</v>
      </c>
      <c r="F637" s="9" t="s">
        <v>175</v>
      </c>
      <c r="G637" s="21"/>
      <c r="H637" s="21"/>
    </row>
    <row r="638" spans="1:8" hidden="1" x14ac:dyDescent="0.25">
      <c r="A638" s="2">
        <v>42625.760416666664</v>
      </c>
      <c r="B638" s="3" t="str">
        <f>"02111101049"</f>
        <v>02111101049</v>
      </c>
      <c r="C638" s="3" t="s">
        <v>106</v>
      </c>
      <c r="D638" s="3" t="s">
        <v>12</v>
      </c>
      <c r="E638" s="3" t="s">
        <v>253</v>
      </c>
      <c r="F638" s="3" t="s">
        <v>134</v>
      </c>
    </row>
    <row r="639" spans="1:8" hidden="1" x14ac:dyDescent="0.25">
      <c r="A639" s="2">
        <v>42625.760416666664</v>
      </c>
      <c r="B639" s="3" t="str">
        <f>"02112105049"</f>
        <v>02112105049</v>
      </c>
      <c r="C639" s="3" t="s">
        <v>63</v>
      </c>
      <c r="D639" s="3" t="s">
        <v>12</v>
      </c>
      <c r="E639" s="3" t="s">
        <v>385</v>
      </c>
      <c r="F639" s="3" t="s">
        <v>79</v>
      </c>
    </row>
    <row r="640" spans="1:8" hidden="1" x14ac:dyDescent="0.25">
      <c r="A640" s="2">
        <v>42625.770833333336</v>
      </c>
      <c r="B640" s="3" t="str">
        <f>"02211104052"</f>
        <v>02211104052</v>
      </c>
      <c r="C640" s="3" t="s">
        <v>53</v>
      </c>
      <c r="D640" s="3" t="s">
        <v>12</v>
      </c>
      <c r="E640" s="3" t="s">
        <v>81</v>
      </c>
      <c r="F640" s="3" t="s">
        <v>132</v>
      </c>
    </row>
    <row r="641" spans="1:8" x14ac:dyDescent="0.25">
      <c r="A641" s="2">
        <v>42625.791666666664</v>
      </c>
      <c r="B641" s="3" t="str">
        <f>"02110112050"</f>
        <v>02110112050</v>
      </c>
      <c r="C641" s="3" t="s">
        <v>124</v>
      </c>
      <c r="D641" s="3" t="s">
        <v>247</v>
      </c>
      <c r="E641" s="3" t="s">
        <v>100</v>
      </c>
      <c r="F641" s="9" t="s">
        <v>175</v>
      </c>
      <c r="G641" s="21"/>
      <c r="H641" s="21"/>
    </row>
    <row r="642" spans="1:8" x14ac:dyDescent="0.25">
      <c r="A642" s="2">
        <v>42625.84375</v>
      </c>
      <c r="B642" s="3" t="str">
        <f>"02111108077"</f>
        <v>02111108077</v>
      </c>
      <c r="C642" s="3" t="s">
        <v>50</v>
      </c>
      <c r="D642" s="3" t="s">
        <v>313</v>
      </c>
      <c r="E642" s="3" t="s">
        <v>51</v>
      </c>
      <c r="F642" s="9" t="s">
        <v>52</v>
      </c>
      <c r="G642" s="21"/>
      <c r="H642" s="21"/>
    </row>
    <row r="643" spans="1:8" x14ac:dyDescent="0.25">
      <c r="A643" s="2">
        <v>42626.708333333336</v>
      </c>
      <c r="B643" s="3" t="str">
        <f>"02208102045"</f>
        <v>02208102045</v>
      </c>
      <c r="C643" s="3" t="s">
        <v>120</v>
      </c>
      <c r="D643" s="3" t="s">
        <v>240</v>
      </c>
      <c r="E643" s="3" t="s">
        <v>100</v>
      </c>
      <c r="F643" s="9" t="s">
        <v>200</v>
      </c>
      <c r="G643" s="21"/>
      <c r="H643" s="21"/>
    </row>
    <row r="644" spans="1:8" x14ac:dyDescent="0.25">
      <c r="A644" s="2">
        <v>42626.708333333336</v>
      </c>
      <c r="B644" s="3" t="str">
        <f>"02108105052"</f>
        <v>02108105052</v>
      </c>
      <c r="C644" s="3" t="s">
        <v>98</v>
      </c>
      <c r="D644" s="3" t="s">
        <v>235</v>
      </c>
      <c r="E644" s="3" t="s">
        <v>122</v>
      </c>
      <c r="F644" s="9" t="s">
        <v>114</v>
      </c>
      <c r="G644" s="21"/>
      <c r="H644" s="21"/>
    </row>
    <row r="645" spans="1:8" x14ac:dyDescent="0.25">
      <c r="A645" s="2">
        <v>42626.75</v>
      </c>
      <c r="B645" s="3" t="str">
        <f>"02108105051"</f>
        <v>02108105051</v>
      </c>
      <c r="C645" s="3" t="s">
        <v>112</v>
      </c>
      <c r="D645" s="3" t="s">
        <v>154</v>
      </c>
      <c r="E645" s="3" t="s">
        <v>122</v>
      </c>
      <c r="F645" s="9" t="s">
        <v>114</v>
      </c>
      <c r="G645" s="21"/>
      <c r="H645" s="21"/>
    </row>
    <row r="646" spans="1:8" x14ac:dyDescent="0.25">
      <c r="A646" s="2">
        <v>42626.75</v>
      </c>
      <c r="B646" s="3" t="str">
        <f>"02208102046"</f>
        <v>02208102046</v>
      </c>
      <c r="C646" s="3" t="s">
        <v>124</v>
      </c>
      <c r="D646" s="3" t="s">
        <v>236</v>
      </c>
      <c r="E646" s="3" t="s">
        <v>100</v>
      </c>
      <c r="F646" s="9" t="s">
        <v>200</v>
      </c>
      <c r="G646" s="10"/>
      <c r="H646" s="10"/>
    </row>
    <row r="647" spans="1:8" x14ac:dyDescent="0.25">
      <c r="A647" s="2">
        <v>42626.791666666664</v>
      </c>
      <c r="B647" s="3" t="str">
        <f>"02111109076"</f>
        <v>02111109076</v>
      </c>
      <c r="C647" s="3" t="s">
        <v>62</v>
      </c>
      <c r="D647" s="3" t="s">
        <v>307</v>
      </c>
      <c r="E647" s="3" t="s">
        <v>51</v>
      </c>
      <c r="F647" s="9" t="s">
        <v>64</v>
      </c>
      <c r="G647" s="10"/>
      <c r="H647" s="10"/>
    </row>
    <row r="648" spans="1:8" hidden="1" x14ac:dyDescent="0.25">
      <c r="A648" s="2">
        <v>42626.84375</v>
      </c>
      <c r="B648" s="3" t="str">
        <f>"02120601101"</f>
        <v>02120601101</v>
      </c>
      <c r="C648" s="3" t="s">
        <v>196</v>
      </c>
      <c r="D648" s="3" t="s">
        <v>9</v>
      </c>
      <c r="E648" s="3" t="s">
        <v>115</v>
      </c>
      <c r="F648" s="3" t="s">
        <v>31</v>
      </c>
    </row>
    <row r="649" spans="1:8" x14ac:dyDescent="0.25">
      <c r="A649" s="2">
        <v>42626.84375</v>
      </c>
      <c r="B649" s="3" t="str">
        <f>"02212102077"</f>
        <v>02212102077</v>
      </c>
      <c r="C649" s="3" t="s">
        <v>9</v>
      </c>
      <c r="D649" s="3" t="s">
        <v>13</v>
      </c>
      <c r="E649" s="3" t="s">
        <v>51</v>
      </c>
      <c r="F649" s="9" t="s">
        <v>71</v>
      </c>
      <c r="G649" s="10"/>
      <c r="H649" s="10"/>
    </row>
    <row r="650" spans="1:8" hidden="1" x14ac:dyDescent="0.25">
      <c r="A650" s="2">
        <v>42627.708333333336</v>
      </c>
      <c r="B650" s="3" t="str">
        <f>"02209102049"</f>
        <v>02209102049</v>
      </c>
      <c r="C650" s="3" t="s">
        <v>254</v>
      </c>
      <c r="D650" s="3" t="s">
        <v>124</v>
      </c>
      <c r="E650" s="3" t="s">
        <v>249</v>
      </c>
      <c r="F650" s="3" t="s">
        <v>158</v>
      </c>
    </row>
    <row r="651" spans="1:8" x14ac:dyDescent="0.25">
      <c r="A651" s="2">
        <v>42627.708333333336</v>
      </c>
      <c r="B651" s="3" t="str">
        <f>"02109105052"</f>
        <v>02109105052</v>
      </c>
      <c r="C651" s="3" t="s">
        <v>98</v>
      </c>
      <c r="D651" s="3" t="s">
        <v>149</v>
      </c>
      <c r="E651" s="3" t="s">
        <v>100</v>
      </c>
      <c r="F651" s="9" t="s">
        <v>170</v>
      </c>
      <c r="G651" s="10"/>
      <c r="H651" s="10"/>
    </row>
    <row r="652" spans="1:8" x14ac:dyDescent="0.25">
      <c r="A652" s="2">
        <v>42627.75</v>
      </c>
      <c r="B652" s="3" t="str">
        <f>"02109105051"</f>
        <v>02109105051</v>
      </c>
      <c r="C652" s="3" t="s">
        <v>112</v>
      </c>
      <c r="D652" s="3" t="s">
        <v>161</v>
      </c>
      <c r="E652" s="3" t="s">
        <v>100</v>
      </c>
      <c r="F652" s="9" t="s">
        <v>170</v>
      </c>
      <c r="G652" s="10"/>
      <c r="H652" s="10"/>
    </row>
    <row r="653" spans="1:8" hidden="1" x14ac:dyDescent="0.25">
      <c r="A653" s="2">
        <v>42627.75</v>
      </c>
      <c r="B653" s="3" t="str">
        <f>"02209102050"</f>
        <v>02209102050</v>
      </c>
      <c r="C653" s="3" t="s">
        <v>248</v>
      </c>
      <c r="D653" s="3" t="s">
        <v>120</v>
      </c>
      <c r="E653" s="3" t="s">
        <v>249</v>
      </c>
      <c r="F653" s="3" t="s">
        <v>158</v>
      </c>
    </row>
    <row r="654" spans="1:8" hidden="1" x14ac:dyDescent="0.25">
      <c r="A654" s="2">
        <v>42627.760416666664</v>
      </c>
      <c r="B654" s="3" t="str">
        <f>"02111104049"</f>
        <v>02111104049</v>
      </c>
      <c r="C654" s="3" t="s">
        <v>55</v>
      </c>
      <c r="D654" s="3" t="s">
        <v>9</v>
      </c>
      <c r="E654" s="3" t="s">
        <v>376</v>
      </c>
      <c r="F654" s="3" t="s">
        <v>119</v>
      </c>
    </row>
    <row r="655" spans="1:8" hidden="1" x14ac:dyDescent="0.25">
      <c r="A655" s="2">
        <v>42627.791666666664</v>
      </c>
      <c r="B655" s="3" t="str">
        <f>"02108102050"</f>
        <v>02108102050</v>
      </c>
      <c r="C655" s="3" t="s">
        <v>268</v>
      </c>
      <c r="D655" s="3" t="s">
        <v>120</v>
      </c>
      <c r="E655" s="3" t="s">
        <v>266</v>
      </c>
      <c r="F655" s="3" t="s">
        <v>140</v>
      </c>
    </row>
    <row r="656" spans="1:8" x14ac:dyDescent="0.25">
      <c r="A656" s="2">
        <v>42627.791666666664</v>
      </c>
      <c r="B656" s="3" t="str">
        <f>"02212101078"</f>
        <v>02212101078</v>
      </c>
      <c r="C656" s="3" t="s">
        <v>12</v>
      </c>
      <c r="D656" s="3" t="s">
        <v>196</v>
      </c>
      <c r="E656" s="3" t="s">
        <v>51</v>
      </c>
      <c r="F656" s="9" t="s">
        <v>96</v>
      </c>
      <c r="G656" s="10"/>
      <c r="H656" s="10"/>
    </row>
    <row r="657" spans="1:8" hidden="1" x14ac:dyDescent="0.25">
      <c r="A657" s="2">
        <v>42627.833333333336</v>
      </c>
      <c r="B657" s="3" t="str">
        <f>"02108102049"</f>
        <v>02108102049</v>
      </c>
      <c r="C657" s="3" t="s">
        <v>227</v>
      </c>
      <c r="D657" s="3" t="s">
        <v>124</v>
      </c>
      <c r="E657" s="3" t="s">
        <v>266</v>
      </c>
      <c r="F657" s="3" t="s">
        <v>140</v>
      </c>
    </row>
    <row r="658" spans="1:8" x14ac:dyDescent="0.25">
      <c r="A658" s="2">
        <v>42627.84375</v>
      </c>
      <c r="B658" s="3" t="str">
        <f>"02113701047"</f>
        <v>02113701047</v>
      </c>
      <c r="C658" s="3" t="s">
        <v>109</v>
      </c>
      <c r="D658" s="3" t="s">
        <v>291</v>
      </c>
      <c r="E658" s="3" t="s">
        <v>51</v>
      </c>
      <c r="F658" s="9" t="s">
        <v>131</v>
      </c>
      <c r="G658" s="10"/>
      <c r="H658" s="10"/>
    </row>
    <row r="659" spans="1:8" x14ac:dyDescent="0.25">
      <c r="A659" s="2">
        <v>42628.708333333336</v>
      </c>
      <c r="B659" s="3" t="str">
        <f>"02107101052"</f>
        <v>02107101052</v>
      </c>
      <c r="C659" s="3" t="s">
        <v>120</v>
      </c>
      <c r="D659" s="3" t="s">
        <v>233</v>
      </c>
      <c r="E659" s="3" t="s">
        <v>100</v>
      </c>
      <c r="F659" s="9" t="s">
        <v>153</v>
      </c>
      <c r="G659" s="10"/>
      <c r="H659" s="10"/>
    </row>
    <row r="660" spans="1:8" hidden="1" x14ac:dyDescent="0.25">
      <c r="A660" s="2">
        <v>42628.729166666664</v>
      </c>
      <c r="B660" s="3" t="str">
        <f>"02207101050"</f>
        <v>02207101050</v>
      </c>
      <c r="C660" s="3" t="s">
        <v>238</v>
      </c>
      <c r="D660" s="3" t="s">
        <v>120</v>
      </c>
      <c r="E660" s="3" t="s">
        <v>239</v>
      </c>
      <c r="F660" s="3" t="s">
        <v>123</v>
      </c>
    </row>
    <row r="661" spans="1:8" hidden="1" x14ac:dyDescent="0.25">
      <c r="A661" s="2">
        <v>42628.75</v>
      </c>
      <c r="B661" s="3" t="str">
        <f>"02210102050"</f>
        <v>02210102050</v>
      </c>
      <c r="C661" s="3" t="s">
        <v>259</v>
      </c>
      <c r="D661" s="3" t="s">
        <v>120</v>
      </c>
      <c r="E661" s="3" t="s">
        <v>260</v>
      </c>
      <c r="F661" s="3" t="s">
        <v>181</v>
      </c>
    </row>
    <row r="662" spans="1:8" x14ac:dyDescent="0.25">
      <c r="A662" s="2">
        <v>42628.75</v>
      </c>
      <c r="B662" s="3" t="str">
        <f>"02107101051"</f>
        <v>02107101051</v>
      </c>
      <c r="C662" s="3" t="s">
        <v>124</v>
      </c>
      <c r="D662" s="3" t="s">
        <v>230</v>
      </c>
      <c r="E662" s="3" t="s">
        <v>100</v>
      </c>
      <c r="F662" s="9" t="s">
        <v>153</v>
      </c>
      <c r="G662" s="10"/>
      <c r="H662" s="10"/>
    </row>
    <row r="663" spans="1:8" hidden="1" x14ac:dyDescent="0.25">
      <c r="A663" s="2">
        <v>42628.75</v>
      </c>
      <c r="B663" s="3" t="str">
        <f>"02209105052"</f>
        <v>02209105052</v>
      </c>
      <c r="C663" s="3" t="s">
        <v>240</v>
      </c>
      <c r="D663" s="3" t="s">
        <v>98</v>
      </c>
      <c r="E663" s="3" t="s">
        <v>386</v>
      </c>
      <c r="F663" s="3" t="s">
        <v>101</v>
      </c>
    </row>
    <row r="664" spans="1:8" hidden="1" x14ac:dyDescent="0.25">
      <c r="A664" s="2">
        <v>42628.760416666664</v>
      </c>
      <c r="B664" s="3" t="str">
        <f>"02113932050"</f>
        <v>02113932050</v>
      </c>
      <c r="C664" s="3" t="s">
        <v>338</v>
      </c>
      <c r="D664" s="3" t="s">
        <v>62</v>
      </c>
      <c r="E664" s="3" t="s">
        <v>387</v>
      </c>
      <c r="F664" s="3" t="s">
        <v>183</v>
      </c>
    </row>
    <row r="665" spans="1:8" hidden="1" x14ac:dyDescent="0.25">
      <c r="A665" s="2">
        <v>42628.770833333336</v>
      </c>
      <c r="B665" s="3" t="str">
        <f>"02207101049"</f>
        <v>02207101049</v>
      </c>
      <c r="C665" s="3" t="s">
        <v>241</v>
      </c>
      <c r="D665" s="3" t="s">
        <v>124</v>
      </c>
      <c r="E665" s="3" t="s">
        <v>239</v>
      </c>
      <c r="F665" s="3" t="s">
        <v>123</v>
      </c>
    </row>
    <row r="666" spans="1:8" hidden="1" x14ac:dyDescent="0.25">
      <c r="A666" s="2">
        <v>42628.791666666664</v>
      </c>
      <c r="B666" s="3" t="str">
        <f>"02210102049"</f>
        <v>02210102049</v>
      </c>
      <c r="C666" s="3" t="s">
        <v>262</v>
      </c>
      <c r="D666" s="3" t="s">
        <v>124</v>
      </c>
      <c r="E666" s="3" t="s">
        <v>260</v>
      </c>
      <c r="F666" s="3" t="s">
        <v>181</v>
      </c>
    </row>
    <row r="667" spans="1:8" hidden="1" x14ac:dyDescent="0.25">
      <c r="A667" s="2">
        <v>42629.75</v>
      </c>
      <c r="B667" s="3" t="str">
        <f>"02110114052"</f>
        <v>02110114052</v>
      </c>
      <c r="C667" s="3" t="s">
        <v>332</v>
      </c>
      <c r="D667" s="3" t="s">
        <v>112</v>
      </c>
      <c r="E667" s="3" t="s">
        <v>379</v>
      </c>
      <c r="F667" s="3" t="s">
        <v>143</v>
      </c>
    </row>
    <row r="668" spans="1:8" hidden="1" x14ac:dyDescent="0.25">
      <c r="A668" s="2">
        <v>42629.84375</v>
      </c>
      <c r="B668" s="3" t="str">
        <f>"02139701042"</f>
        <v>02139701042</v>
      </c>
      <c r="C668" s="3" t="s">
        <v>48</v>
      </c>
      <c r="D668" s="3" t="s">
        <v>12</v>
      </c>
      <c r="E668" s="3" t="s">
        <v>245</v>
      </c>
      <c r="F668" s="3" t="s">
        <v>92</v>
      </c>
    </row>
    <row r="669" spans="1:8" x14ac:dyDescent="0.25">
      <c r="A669" s="2">
        <v>42629.84375</v>
      </c>
      <c r="B669" s="3" t="str">
        <f>"02112107078"</f>
        <v>02112107078</v>
      </c>
      <c r="C669" s="3" t="s">
        <v>9</v>
      </c>
      <c r="D669" s="3" t="s">
        <v>277</v>
      </c>
      <c r="E669" s="3" t="s">
        <v>51</v>
      </c>
      <c r="F669" s="9" t="s">
        <v>69</v>
      </c>
      <c r="G669" s="10"/>
      <c r="H669" s="10"/>
    </row>
    <row r="670" spans="1:8" hidden="1" x14ac:dyDescent="0.25">
      <c r="A670" s="2">
        <v>42630.458333333336</v>
      </c>
      <c r="B670" s="3" t="str">
        <f>"02109106051"</f>
        <v>02109106051</v>
      </c>
      <c r="C670" s="3" t="s">
        <v>274</v>
      </c>
      <c r="D670" s="3" t="s">
        <v>120</v>
      </c>
      <c r="E670" s="3" t="s">
        <v>113</v>
      </c>
      <c r="F670" s="3" t="s">
        <v>173</v>
      </c>
    </row>
    <row r="671" spans="1:8" hidden="1" x14ac:dyDescent="0.25">
      <c r="A671" s="2">
        <v>42630.5</v>
      </c>
      <c r="B671" s="3" t="str">
        <f>"02109106052"</f>
        <v>02109106052</v>
      </c>
      <c r="C671" s="3" t="s">
        <v>116</v>
      </c>
      <c r="D671" s="3" t="s">
        <v>124</v>
      </c>
      <c r="E671" s="3" t="s">
        <v>113</v>
      </c>
      <c r="F671" s="3" t="s">
        <v>173</v>
      </c>
    </row>
    <row r="672" spans="1:8" hidden="1" x14ac:dyDescent="0.25">
      <c r="A672" s="2">
        <v>42630.541666666664</v>
      </c>
      <c r="B672" s="3" t="str">
        <f>"02111103052"</f>
        <v>02111103052</v>
      </c>
      <c r="C672" s="3" t="s">
        <v>137</v>
      </c>
      <c r="D672" s="3" t="s">
        <v>109</v>
      </c>
      <c r="E672" s="3" t="s">
        <v>265</v>
      </c>
      <c r="F672" s="3" t="s">
        <v>110</v>
      </c>
    </row>
    <row r="673" spans="1:9" hidden="1" x14ac:dyDescent="0.25">
      <c r="A673" s="2">
        <v>42630.625</v>
      </c>
      <c r="B673" s="3" t="str">
        <f>"02116101120"</f>
        <v>02116101120</v>
      </c>
      <c r="C673" s="3" t="s">
        <v>185</v>
      </c>
      <c r="D673" s="3" t="s">
        <v>12</v>
      </c>
      <c r="E673" s="3" t="s">
        <v>225</v>
      </c>
      <c r="F673" s="3" t="s">
        <v>16</v>
      </c>
    </row>
    <row r="674" spans="1:9" hidden="1" x14ac:dyDescent="0.25">
      <c r="A674" s="2">
        <v>42631.625</v>
      </c>
      <c r="B674" s="3" t="str">
        <f>"02119101109"</f>
        <v>02119101109</v>
      </c>
      <c r="C674" s="3" t="s">
        <v>263</v>
      </c>
      <c r="D674" s="3" t="s">
        <v>12</v>
      </c>
      <c r="E674" s="3" t="s">
        <v>369</v>
      </c>
      <c r="F674" s="3" t="s">
        <v>24</v>
      </c>
    </row>
    <row r="675" spans="1:9" hidden="1" x14ac:dyDescent="0.25">
      <c r="A675" s="2">
        <v>42631.625</v>
      </c>
      <c r="B675" s="3" t="str">
        <f>"02220401111"</f>
        <v>02220401111</v>
      </c>
      <c r="C675" s="3" t="s">
        <v>308</v>
      </c>
      <c r="D675" s="3" t="s">
        <v>12</v>
      </c>
      <c r="E675" s="3" t="s">
        <v>388</v>
      </c>
      <c r="F675" s="3" t="s">
        <v>29</v>
      </c>
    </row>
    <row r="676" spans="1:9" x14ac:dyDescent="0.25">
      <c r="A676" s="2">
        <v>42632.708333333336</v>
      </c>
      <c r="B676" s="3" t="str">
        <f>"02207101055"</f>
        <v>02207101055</v>
      </c>
      <c r="C676" s="3" t="s">
        <v>124</v>
      </c>
      <c r="D676" s="3" t="s">
        <v>120</v>
      </c>
      <c r="E676" s="3" t="s">
        <v>100</v>
      </c>
      <c r="F676" s="9" t="s">
        <v>123</v>
      </c>
      <c r="G676" s="10"/>
      <c r="H676" s="10"/>
      <c r="I676" s="10"/>
    </row>
    <row r="677" spans="1:9" hidden="1" x14ac:dyDescent="0.25">
      <c r="A677" s="2">
        <v>42632.708333333336</v>
      </c>
      <c r="B677" s="3" t="str">
        <f>"02108108050"</f>
        <v>02108108050</v>
      </c>
      <c r="C677" s="3" t="s">
        <v>257</v>
      </c>
      <c r="D677" s="3" t="s">
        <v>160</v>
      </c>
      <c r="E677" s="3" t="s">
        <v>258</v>
      </c>
      <c r="F677" s="3" t="s">
        <v>150</v>
      </c>
    </row>
    <row r="678" spans="1:9" hidden="1" x14ac:dyDescent="0.25">
      <c r="A678" s="2">
        <v>42632.708333333336</v>
      </c>
      <c r="B678" s="3" t="str">
        <f>"02212101081"</f>
        <v>02212101081</v>
      </c>
      <c r="C678" s="3" t="s">
        <v>106</v>
      </c>
      <c r="D678" s="3" t="s">
        <v>12</v>
      </c>
      <c r="E678" s="3" t="s">
        <v>75</v>
      </c>
      <c r="F678" s="3" t="s">
        <v>96</v>
      </c>
    </row>
    <row r="679" spans="1:9" hidden="1" x14ac:dyDescent="0.25">
      <c r="A679" s="2">
        <v>42632.75</v>
      </c>
      <c r="B679" s="3" t="str">
        <f>"02114201122"</f>
        <v>02114201122</v>
      </c>
      <c r="C679" s="3" t="s">
        <v>263</v>
      </c>
      <c r="D679" s="3" t="s">
        <v>9</v>
      </c>
      <c r="E679" s="3" t="s">
        <v>43</v>
      </c>
      <c r="F679" s="3" t="s">
        <v>22</v>
      </c>
    </row>
    <row r="680" spans="1:9" x14ac:dyDescent="0.25">
      <c r="A680" s="2">
        <v>42632.75</v>
      </c>
      <c r="B680" s="3" t="str">
        <f>"02107101056"</f>
        <v>02107101056</v>
      </c>
      <c r="C680" s="3" t="s">
        <v>124</v>
      </c>
      <c r="D680" s="3" t="s">
        <v>120</v>
      </c>
      <c r="E680" s="3" t="s">
        <v>100</v>
      </c>
      <c r="F680" s="9" t="s">
        <v>153</v>
      </c>
      <c r="G680" s="10"/>
      <c r="H680" s="10"/>
      <c r="I680" s="10" t="s">
        <v>497</v>
      </c>
    </row>
    <row r="681" spans="1:9" hidden="1" x14ac:dyDescent="0.25">
      <c r="A681" s="2">
        <v>42632.75</v>
      </c>
      <c r="B681" s="3" t="str">
        <f>"02108108049"</f>
        <v>02108108049</v>
      </c>
      <c r="C681" s="3" t="s">
        <v>261</v>
      </c>
      <c r="D681" s="3" t="s">
        <v>148</v>
      </c>
      <c r="E681" s="3" t="s">
        <v>258</v>
      </c>
      <c r="F681" s="3" t="s">
        <v>150</v>
      </c>
    </row>
    <row r="682" spans="1:9" hidden="1" x14ac:dyDescent="0.25">
      <c r="A682" s="2">
        <v>42632.760416666664</v>
      </c>
      <c r="B682" s="3" t="str">
        <f>"02112107081"</f>
        <v>02112107081</v>
      </c>
      <c r="C682" s="3" t="s">
        <v>93</v>
      </c>
      <c r="D682" s="3" t="s">
        <v>9</v>
      </c>
      <c r="E682" s="3" t="s">
        <v>94</v>
      </c>
      <c r="F682" s="3" t="s">
        <v>69</v>
      </c>
    </row>
    <row r="683" spans="1:9" hidden="1" x14ac:dyDescent="0.25">
      <c r="A683" s="2">
        <v>42632.760416666664</v>
      </c>
      <c r="B683" s="3" t="str">
        <f>"02113921084"</f>
        <v>02113921084</v>
      </c>
      <c r="C683" s="3" t="s">
        <v>231</v>
      </c>
      <c r="D683" s="3" t="s">
        <v>25</v>
      </c>
      <c r="E683" s="3" t="s">
        <v>327</v>
      </c>
      <c r="F683" s="3" t="s">
        <v>56</v>
      </c>
    </row>
    <row r="684" spans="1:9" hidden="1" x14ac:dyDescent="0.25">
      <c r="A684" s="2">
        <v>42632.760416666664</v>
      </c>
      <c r="B684" s="3" t="str">
        <f>"02111108082"</f>
        <v>02111108082</v>
      </c>
      <c r="C684" s="3" t="s">
        <v>36</v>
      </c>
      <c r="D684" s="3" t="s">
        <v>50</v>
      </c>
      <c r="E684" s="3" t="s">
        <v>296</v>
      </c>
      <c r="F684" s="3" t="s">
        <v>52</v>
      </c>
    </row>
    <row r="685" spans="1:9" x14ac:dyDescent="0.25">
      <c r="A685" s="2">
        <v>42632.791666666664</v>
      </c>
      <c r="B685" s="3" t="str">
        <f>"02207103053"</f>
        <v>02207103053</v>
      </c>
      <c r="C685" s="3" t="s">
        <v>98</v>
      </c>
      <c r="D685" s="3" t="s">
        <v>207</v>
      </c>
      <c r="E685" s="3" t="s">
        <v>100</v>
      </c>
      <c r="F685" s="9" t="s">
        <v>127</v>
      </c>
      <c r="G685" s="10"/>
      <c r="H685" s="10"/>
    </row>
    <row r="686" spans="1:9" hidden="1" x14ac:dyDescent="0.25">
      <c r="A686" s="2">
        <v>42632.8125</v>
      </c>
      <c r="B686" s="3" t="str">
        <f>"02213101111"</f>
        <v>02213101111</v>
      </c>
      <c r="C686" s="3" t="s">
        <v>179</v>
      </c>
      <c r="D686" s="3" t="s">
        <v>12</v>
      </c>
      <c r="E686" s="3" t="s">
        <v>389</v>
      </c>
      <c r="F686" s="3" t="s">
        <v>19</v>
      </c>
    </row>
    <row r="687" spans="1:9" x14ac:dyDescent="0.25">
      <c r="A687" s="2">
        <v>42632.84375</v>
      </c>
      <c r="B687" s="3" t="str">
        <f>"02211104056"</f>
        <v>02211104056</v>
      </c>
      <c r="C687" s="3" t="s">
        <v>12</v>
      </c>
      <c r="D687" s="3" t="s">
        <v>231</v>
      </c>
      <c r="E687" s="3" t="s">
        <v>51</v>
      </c>
      <c r="F687" s="9" t="s">
        <v>132</v>
      </c>
      <c r="G687" s="10"/>
      <c r="H687" s="10"/>
    </row>
    <row r="688" spans="1:9" hidden="1" x14ac:dyDescent="0.25">
      <c r="A688" s="2">
        <v>42633.708333333336</v>
      </c>
      <c r="B688" s="3" t="str">
        <f>"02208102049"</f>
        <v>02208102049</v>
      </c>
      <c r="C688" s="3" t="s">
        <v>281</v>
      </c>
      <c r="D688" s="3" t="s">
        <v>124</v>
      </c>
      <c r="E688" s="3" t="s">
        <v>243</v>
      </c>
      <c r="F688" s="3" t="s">
        <v>200</v>
      </c>
    </row>
    <row r="689" spans="1:9" x14ac:dyDescent="0.25">
      <c r="A689" s="2">
        <v>42633.708333333336</v>
      </c>
      <c r="B689" s="3" t="str">
        <f>"02108102055"</f>
        <v>02108102055</v>
      </c>
      <c r="C689" s="3" t="s">
        <v>124</v>
      </c>
      <c r="D689" s="3" t="s">
        <v>120</v>
      </c>
      <c r="E689" s="3" t="s">
        <v>100</v>
      </c>
      <c r="F689" s="9" t="s">
        <v>140</v>
      </c>
      <c r="G689" s="24" t="s">
        <v>435</v>
      </c>
      <c r="H689" s="10"/>
      <c r="I689" s="10" t="s">
        <v>498</v>
      </c>
    </row>
    <row r="690" spans="1:9" x14ac:dyDescent="0.25">
      <c r="A690" s="2">
        <v>42633.75</v>
      </c>
      <c r="B690" s="3" t="str">
        <f>"02107114055"</f>
        <v>02107114055</v>
      </c>
      <c r="C690" s="3" t="s">
        <v>98</v>
      </c>
      <c r="D690" s="3" t="s">
        <v>177</v>
      </c>
      <c r="E690" s="3" t="s">
        <v>100</v>
      </c>
      <c r="F690" s="9" t="s">
        <v>164</v>
      </c>
      <c r="G690" s="10"/>
      <c r="H690" s="10"/>
    </row>
    <row r="691" spans="1:9" x14ac:dyDescent="0.25">
      <c r="A691" s="2">
        <v>42633.75</v>
      </c>
      <c r="B691" s="3" t="str">
        <f>"02108105056"</f>
        <v>02108105056</v>
      </c>
      <c r="C691" s="3" t="s">
        <v>112</v>
      </c>
      <c r="D691" s="3" t="s">
        <v>98</v>
      </c>
      <c r="E691" s="3" t="s">
        <v>122</v>
      </c>
      <c r="F691" s="9" t="s">
        <v>114</v>
      </c>
      <c r="G691" s="24" t="s">
        <v>435</v>
      </c>
      <c r="H691" s="10"/>
      <c r="I691" s="10" t="s">
        <v>497</v>
      </c>
    </row>
    <row r="692" spans="1:9" hidden="1" x14ac:dyDescent="0.25">
      <c r="A692" s="2">
        <v>42633.75</v>
      </c>
      <c r="B692" s="3" t="str">
        <f>"02208102050"</f>
        <v>02208102050</v>
      </c>
      <c r="C692" s="3" t="s">
        <v>280</v>
      </c>
      <c r="D692" s="3" t="s">
        <v>120</v>
      </c>
      <c r="E692" s="3" t="s">
        <v>243</v>
      </c>
      <c r="F692" s="3" t="s">
        <v>200</v>
      </c>
    </row>
    <row r="693" spans="1:9" x14ac:dyDescent="0.25">
      <c r="A693" s="2">
        <v>42633.770833333336</v>
      </c>
      <c r="B693" s="3" t="str">
        <f>"02113701049"</f>
        <v>02113701049</v>
      </c>
      <c r="C693" s="3" t="s">
        <v>109</v>
      </c>
      <c r="D693" s="3" t="s">
        <v>103</v>
      </c>
      <c r="E693" s="3" t="s">
        <v>34</v>
      </c>
      <c r="F693" s="9" t="s">
        <v>131</v>
      </c>
      <c r="G693" s="10"/>
      <c r="H693" s="10"/>
    </row>
    <row r="694" spans="1:9" x14ac:dyDescent="0.25">
      <c r="A694" s="2">
        <v>42633.791666666664</v>
      </c>
      <c r="B694" s="3" t="str">
        <f>"02111101055"</f>
        <v>02111101055</v>
      </c>
      <c r="C694" s="3" t="s">
        <v>12</v>
      </c>
      <c r="D694" s="3" t="s">
        <v>39</v>
      </c>
      <c r="E694" s="3" t="s">
        <v>51</v>
      </c>
      <c r="F694" s="9" t="s">
        <v>134</v>
      </c>
      <c r="G694" s="10"/>
      <c r="H694" s="10"/>
    </row>
    <row r="695" spans="1:9" hidden="1" x14ac:dyDescent="0.25">
      <c r="A695" s="2">
        <v>42633.833333333336</v>
      </c>
      <c r="B695" s="3" t="str">
        <f>"02212102082"</f>
        <v>02212102082</v>
      </c>
      <c r="C695" s="3" t="s">
        <v>185</v>
      </c>
      <c r="D695" s="3" t="s">
        <v>9</v>
      </c>
      <c r="E695" s="3" t="s">
        <v>194</v>
      </c>
      <c r="F695" s="3" t="s">
        <v>71</v>
      </c>
    </row>
    <row r="696" spans="1:9" hidden="1" x14ac:dyDescent="0.25">
      <c r="A696" s="2">
        <v>42634.71875</v>
      </c>
      <c r="B696" s="3" t="str">
        <f>"02111111050"</f>
        <v>02111111050</v>
      </c>
      <c r="C696" s="3" t="s">
        <v>335</v>
      </c>
      <c r="D696" s="3" t="s">
        <v>25</v>
      </c>
      <c r="E696" s="3" t="s">
        <v>389</v>
      </c>
      <c r="F696" s="3" t="s">
        <v>167</v>
      </c>
    </row>
    <row r="697" spans="1:9" x14ac:dyDescent="0.25">
      <c r="A697" s="2">
        <v>42634.75</v>
      </c>
      <c r="B697" s="3" t="str">
        <f>"02109105056"</f>
        <v>02109105056</v>
      </c>
      <c r="C697" s="3" t="s">
        <v>112</v>
      </c>
      <c r="D697" s="3" t="s">
        <v>98</v>
      </c>
      <c r="E697" s="3" t="s">
        <v>100</v>
      </c>
      <c r="F697" s="9" t="s">
        <v>170</v>
      </c>
      <c r="G697" s="24" t="s">
        <v>435</v>
      </c>
      <c r="H697" s="10"/>
      <c r="I697" s="10" t="s">
        <v>497</v>
      </c>
    </row>
    <row r="698" spans="1:9" x14ac:dyDescent="0.25">
      <c r="A698" s="2">
        <v>42634.791666666664</v>
      </c>
      <c r="B698" s="3" t="str">
        <f>"02209102055"</f>
        <v>02209102055</v>
      </c>
      <c r="C698" s="3" t="s">
        <v>124</v>
      </c>
      <c r="D698" s="3" t="s">
        <v>120</v>
      </c>
      <c r="E698" s="3" t="s">
        <v>100</v>
      </c>
      <c r="F698" s="9" t="s">
        <v>158</v>
      </c>
      <c r="G698" s="24" t="s">
        <v>435</v>
      </c>
      <c r="H698" s="10"/>
      <c r="I698" s="10" t="s">
        <v>497</v>
      </c>
    </row>
    <row r="699" spans="1:9" hidden="1" x14ac:dyDescent="0.25">
      <c r="A699" s="2">
        <v>42634.802083333336</v>
      </c>
      <c r="B699" s="3" t="str">
        <f>"02114101105"</f>
        <v>02114101105</v>
      </c>
      <c r="C699" s="3" t="s">
        <v>73</v>
      </c>
      <c r="D699" s="3" t="s">
        <v>12</v>
      </c>
      <c r="E699" s="3" t="s">
        <v>135</v>
      </c>
      <c r="F699" s="3" t="s">
        <v>38</v>
      </c>
    </row>
    <row r="700" spans="1:9" x14ac:dyDescent="0.25">
      <c r="A700" s="2">
        <v>42634.84375</v>
      </c>
      <c r="B700" s="3" t="str">
        <f>"02112105055"</f>
        <v>02112105055</v>
      </c>
      <c r="C700" s="3" t="s">
        <v>12</v>
      </c>
      <c r="D700" s="3" t="s">
        <v>328</v>
      </c>
      <c r="E700" s="3" t="s">
        <v>51</v>
      </c>
      <c r="F700" s="9" t="s">
        <v>79</v>
      </c>
      <c r="G700" s="10"/>
      <c r="H700" s="10"/>
    </row>
    <row r="701" spans="1:9" x14ac:dyDescent="0.25">
      <c r="A701" s="2">
        <v>42635.75</v>
      </c>
      <c r="B701" s="3" t="str">
        <f>"02109106054"</f>
        <v>02109106054</v>
      </c>
      <c r="C701" s="3" t="s">
        <v>124</v>
      </c>
      <c r="D701" s="3" t="s">
        <v>120</v>
      </c>
      <c r="E701" s="3" t="s">
        <v>100</v>
      </c>
      <c r="F701" s="9" t="s">
        <v>173</v>
      </c>
      <c r="G701" s="24" t="s">
        <v>435</v>
      </c>
      <c r="H701" s="10"/>
      <c r="I701" s="10" t="s">
        <v>497</v>
      </c>
    </row>
    <row r="702" spans="1:9" hidden="1" x14ac:dyDescent="0.25">
      <c r="A702" s="2">
        <v>42635.760416666664</v>
      </c>
      <c r="B702" s="3" t="str">
        <f>"02116301081"</f>
        <v>02116301081</v>
      </c>
      <c r="C702" s="3" t="s">
        <v>330</v>
      </c>
      <c r="D702" s="3" t="s">
        <v>87</v>
      </c>
      <c r="E702" s="3" t="s">
        <v>144</v>
      </c>
      <c r="F702" s="3" t="s">
        <v>89</v>
      </c>
    </row>
    <row r="703" spans="1:9" x14ac:dyDescent="0.25">
      <c r="A703" s="2">
        <v>42635.791666666664</v>
      </c>
      <c r="B703" s="3" t="str">
        <f>"02110112053"</f>
        <v>02110112053</v>
      </c>
      <c r="C703" s="3" t="s">
        <v>124</v>
      </c>
      <c r="D703" s="3" t="s">
        <v>120</v>
      </c>
      <c r="E703" s="3" t="s">
        <v>100</v>
      </c>
      <c r="F703" s="9" t="s">
        <v>175</v>
      </c>
      <c r="G703" s="24" t="s">
        <v>435</v>
      </c>
      <c r="H703" s="10"/>
      <c r="I703" s="10" t="s">
        <v>497</v>
      </c>
    </row>
    <row r="704" spans="1:9" hidden="1" x14ac:dyDescent="0.25">
      <c r="A704" s="2">
        <v>42635.791666666664</v>
      </c>
      <c r="B704" s="3" t="str">
        <f>"02110115055"</f>
        <v>02110115055</v>
      </c>
      <c r="C704" s="3" t="s">
        <v>99</v>
      </c>
      <c r="D704" s="3" t="s">
        <v>98</v>
      </c>
      <c r="E704" s="3" t="s">
        <v>359</v>
      </c>
      <c r="F704" s="3" t="s">
        <v>156</v>
      </c>
    </row>
    <row r="705" spans="1:9" x14ac:dyDescent="0.25">
      <c r="A705" s="2">
        <v>42635.791666666664</v>
      </c>
      <c r="B705" s="3" t="str">
        <f>"02110114056"</f>
        <v>02110114056</v>
      </c>
      <c r="C705" s="3" t="s">
        <v>112</v>
      </c>
      <c r="D705" s="3" t="s">
        <v>341</v>
      </c>
      <c r="E705" s="3" t="s">
        <v>122</v>
      </c>
      <c r="F705" s="9" t="s">
        <v>143</v>
      </c>
      <c r="G705" s="10"/>
      <c r="H705" s="10"/>
    </row>
    <row r="706" spans="1:9" x14ac:dyDescent="0.25">
      <c r="A706" s="2">
        <v>42635.84375</v>
      </c>
      <c r="B706" s="3" t="str">
        <f>"02111104055"</f>
        <v>02111104055</v>
      </c>
      <c r="C706" s="3" t="s">
        <v>9</v>
      </c>
      <c r="D706" s="3" t="s">
        <v>340</v>
      </c>
      <c r="E706" s="3" t="s">
        <v>51</v>
      </c>
      <c r="F706" s="9" t="s">
        <v>119</v>
      </c>
      <c r="G706" s="10"/>
      <c r="H706" s="10"/>
    </row>
    <row r="707" spans="1:9" x14ac:dyDescent="0.25">
      <c r="A707" s="2">
        <v>42636.75</v>
      </c>
      <c r="B707" s="3" t="str">
        <f>"02108108055"</f>
        <v>02108108055</v>
      </c>
      <c r="C707" s="3" t="s">
        <v>148</v>
      </c>
      <c r="D707" s="3" t="s">
        <v>160</v>
      </c>
      <c r="E707" s="3" t="s">
        <v>122</v>
      </c>
      <c r="F707" s="9" t="s">
        <v>150</v>
      </c>
      <c r="G707" s="24" t="s">
        <v>435</v>
      </c>
      <c r="H707" s="10"/>
      <c r="I707" s="10" t="s">
        <v>497</v>
      </c>
    </row>
    <row r="708" spans="1:9" hidden="1" x14ac:dyDescent="0.25">
      <c r="A708" s="2">
        <v>42636.760416666664</v>
      </c>
      <c r="B708" s="3" t="str">
        <f>"02111109083"</f>
        <v>02111109083</v>
      </c>
      <c r="C708" s="3" t="s">
        <v>182</v>
      </c>
      <c r="D708" s="3" t="s">
        <v>62</v>
      </c>
      <c r="E708" s="3" t="s">
        <v>144</v>
      </c>
      <c r="F708" s="3" t="s">
        <v>64</v>
      </c>
    </row>
    <row r="709" spans="1:9" hidden="1" x14ac:dyDescent="0.25">
      <c r="A709" s="2">
        <v>42636.770833333336</v>
      </c>
      <c r="B709" s="3" t="str">
        <f>"02113922083"</f>
        <v>02113922083</v>
      </c>
      <c r="C709" s="3" t="s">
        <v>137</v>
      </c>
      <c r="D709" s="3" t="s">
        <v>9</v>
      </c>
      <c r="E709" s="3" t="s">
        <v>186</v>
      </c>
      <c r="F709" s="3" t="s">
        <v>45</v>
      </c>
    </row>
    <row r="710" spans="1:9" x14ac:dyDescent="0.25">
      <c r="A710" s="2">
        <v>42636.833333333336</v>
      </c>
      <c r="B710" s="3" t="str">
        <f>"02210102055"</f>
        <v>02210102055</v>
      </c>
      <c r="C710" s="3" t="s">
        <v>124</v>
      </c>
      <c r="D710" s="3" t="s">
        <v>120</v>
      </c>
      <c r="E710" s="3" t="s">
        <v>100</v>
      </c>
      <c r="F710" s="9" t="s">
        <v>181</v>
      </c>
      <c r="G710" s="10"/>
      <c r="H710" s="10"/>
      <c r="I710" s="10"/>
    </row>
    <row r="711" spans="1:9" hidden="1" x14ac:dyDescent="0.25">
      <c r="A711" s="2">
        <v>42636.84375</v>
      </c>
      <c r="B711" s="3" t="str">
        <f>"02213301121"</f>
        <v>02213301121</v>
      </c>
      <c r="C711" s="3" t="s">
        <v>263</v>
      </c>
      <c r="D711" s="3" t="s">
        <v>32</v>
      </c>
      <c r="E711" s="3" t="s">
        <v>353</v>
      </c>
      <c r="F711" s="3" t="s">
        <v>35</v>
      </c>
    </row>
    <row r="712" spans="1:9" hidden="1" x14ac:dyDescent="0.25">
      <c r="A712" s="2">
        <v>42637.541666666664</v>
      </c>
      <c r="B712" s="3" t="str">
        <f>"02114932121"</f>
        <v>02114932121</v>
      </c>
      <c r="C712" s="3" t="s">
        <v>166</v>
      </c>
      <c r="D712" s="3" t="s">
        <v>25</v>
      </c>
      <c r="E712" s="3" t="s">
        <v>61</v>
      </c>
      <c r="F712" s="3" t="s">
        <v>27</v>
      </c>
    </row>
    <row r="713" spans="1:9" x14ac:dyDescent="0.25">
      <c r="A713" s="2">
        <v>42637.541666666664</v>
      </c>
      <c r="B713" s="3" t="str">
        <f>"02111103056"</f>
        <v>02111103056</v>
      </c>
      <c r="C713" s="3" t="s">
        <v>109</v>
      </c>
      <c r="D713" s="3" t="s">
        <v>15</v>
      </c>
      <c r="E713" s="3" t="s">
        <v>51</v>
      </c>
      <c r="F713" s="9" t="s">
        <v>110</v>
      </c>
      <c r="G713" s="10"/>
      <c r="H713" s="10"/>
    </row>
    <row r="714" spans="1:9" hidden="1" x14ac:dyDescent="0.25">
      <c r="A714" s="2">
        <v>42637.625</v>
      </c>
      <c r="B714" s="3" t="str">
        <f>"02116101126"</f>
        <v>02116101126</v>
      </c>
      <c r="C714" s="3" t="s">
        <v>60</v>
      </c>
      <c r="D714" s="3" t="s">
        <v>12</v>
      </c>
      <c r="E714" s="3" t="s">
        <v>107</v>
      </c>
      <c r="F714" s="3" t="s">
        <v>16</v>
      </c>
    </row>
    <row r="715" spans="1:9" x14ac:dyDescent="0.25">
      <c r="A715" s="2">
        <v>42638.541666666664</v>
      </c>
      <c r="B715" s="3" t="str">
        <f>"02111111054"</f>
        <v>02111111054</v>
      </c>
      <c r="C715" s="3" t="s">
        <v>25</v>
      </c>
      <c r="D715" s="3" t="s">
        <v>330</v>
      </c>
      <c r="E715" s="3" t="s">
        <v>51</v>
      </c>
      <c r="F715" s="9" t="s">
        <v>167</v>
      </c>
      <c r="G715" s="10"/>
      <c r="H715" s="10"/>
    </row>
    <row r="716" spans="1:9" x14ac:dyDescent="0.25">
      <c r="A716" s="2">
        <v>42639.75</v>
      </c>
      <c r="B716" s="3" t="str">
        <f>"02209105056"</f>
        <v>02209105056</v>
      </c>
      <c r="C716" s="3" t="s">
        <v>98</v>
      </c>
      <c r="D716" s="3" t="s">
        <v>342</v>
      </c>
      <c r="E716" s="3" t="s">
        <v>100</v>
      </c>
      <c r="F716" s="9" t="s">
        <v>101</v>
      </c>
      <c r="G716" s="10"/>
      <c r="H716" s="10"/>
    </row>
    <row r="717" spans="1:9" x14ac:dyDescent="0.25">
      <c r="A717" s="2">
        <v>42639.84375</v>
      </c>
      <c r="B717" s="3" t="str">
        <f>"02111108088"</f>
        <v>02111108088</v>
      </c>
      <c r="C717" s="3" t="s">
        <v>50</v>
      </c>
      <c r="D717" s="3" t="s">
        <v>349</v>
      </c>
      <c r="E717" s="3" t="s">
        <v>51</v>
      </c>
      <c r="F717" s="9" t="s">
        <v>52</v>
      </c>
      <c r="G717" s="10"/>
      <c r="H717" s="10"/>
    </row>
    <row r="718" spans="1:9" hidden="1" x14ac:dyDescent="0.25">
      <c r="A718" s="2">
        <v>42639.84375</v>
      </c>
      <c r="B718" s="3" t="str">
        <f>"02120401160"</f>
        <v>02120401160</v>
      </c>
      <c r="C718" s="3" t="s">
        <v>339</v>
      </c>
      <c r="D718" s="3" t="s">
        <v>12</v>
      </c>
      <c r="E718" s="3" t="s">
        <v>252</v>
      </c>
      <c r="F718" s="3" t="s">
        <v>14</v>
      </c>
    </row>
    <row r="719" spans="1:9" x14ac:dyDescent="0.25">
      <c r="A719" s="2">
        <v>42640.708333333336</v>
      </c>
      <c r="B719" s="3" t="str">
        <f>"02208102055"</f>
        <v>02208102055</v>
      </c>
      <c r="C719" s="3" t="s">
        <v>124</v>
      </c>
      <c r="D719" s="3" t="s">
        <v>120</v>
      </c>
      <c r="E719" s="3" t="s">
        <v>100</v>
      </c>
      <c r="F719" s="9" t="s">
        <v>200</v>
      </c>
      <c r="G719" s="10"/>
      <c r="H719" s="10"/>
      <c r="I719" s="10"/>
    </row>
    <row r="720" spans="1:9" hidden="1" x14ac:dyDescent="0.25">
      <c r="A720" s="2">
        <v>42640.770833333336</v>
      </c>
      <c r="B720" s="3" t="str">
        <f>"02113701054"</f>
        <v>02113701054</v>
      </c>
      <c r="C720" s="3" t="s">
        <v>348</v>
      </c>
      <c r="D720" s="3" t="s">
        <v>109</v>
      </c>
      <c r="E720" s="3" t="s">
        <v>390</v>
      </c>
      <c r="F720" s="3" t="s">
        <v>131</v>
      </c>
    </row>
    <row r="721" spans="1:8" hidden="1" x14ac:dyDescent="0.25">
      <c r="A721" s="2">
        <v>42640.84375</v>
      </c>
      <c r="B721" s="3" t="str">
        <f>"02120601112"</f>
        <v>02120601112</v>
      </c>
      <c r="C721" s="3" t="s">
        <v>137</v>
      </c>
      <c r="D721" s="3" t="s">
        <v>9</v>
      </c>
      <c r="E721" s="3" t="s">
        <v>225</v>
      </c>
      <c r="F721" s="3" t="s">
        <v>31</v>
      </c>
    </row>
    <row r="722" spans="1:8" x14ac:dyDescent="0.25">
      <c r="A722" s="2">
        <v>42640.84375</v>
      </c>
      <c r="B722" s="3" t="str">
        <f>"02111109087"</f>
        <v>02111109087</v>
      </c>
      <c r="C722" s="3" t="s">
        <v>62</v>
      </c>
      <c r="D722" s="3" t="s">
        <v>344</v>
      </c>
      <c r="E722" s="3" t="s">
        <v>51</v>
      </c>
      <c r="F722" s="9" t="s">
        <v>64</v>
      </c>
      <c r="G722" s="10"/>
      <c r="H722" s="10"/>
    </row>
    <row r="723" spans="1:8" x14ac:dyDescent="0.25">
      <c r="A723" s="2">
        <v>42641.791666666664</v>
      </c>
      <c r="B723" s="3" t="str">
        <f>"02212102088"</f>
        <v>02212102088</v>
      </c>
      <c r="C723" s="3" t="s">
        <v>9</v>
      </c>
      <c r="D723" s="3" t="s">
        <v>20</v>
      </c>
      <c r="E723" s="3" t="s">
        <v>51</v>
      </c>
      <c r="F723" s="9" t="s">
        <v>71</v>
      </c>
      <c r="G723" s="10"/>
      <c r="H723" s="10"/>
    </row>
    <row r="724" spans="1:8" x14ac:dyDescent="0.25">
      <c r="A724" s="2">
        <v>42641.84375</v>
      </c>
      <c r="B724" s="3" t="str">
        <f>"02212101089"</f>
        <v>02212101089</v>
      </c>
      <c r="C724" s="3" t="s">
        <v>12</v>
      </c>
      <c r="D724" s="3" t="s">
        <v>39</v>
      </c>
      <c r="E724" s="3" t="s">
        <v>51</v>
      </c>
      <c r="F724" s="9" t="s">
        <v>96</v>
      </c>
      <c r="G724" s="10"/>
      <c r="H724" s="10"/>
    </row>
    <row r="725" spans="1:8" hidden="1" x14ac:dyDescent="0.25">
      <c r="A725" s="2">
        <v>42642.84375</v>
      </c>
      <c r="B725" s="3" t="str">
        <f>"02114101117"</f>
        <v>02114101117</v>
      </c>
      <c r="C725" s="3" t="s">
        <v>185</v>
      </c>
      <c r="D725" s="3" t="s">
        <v>12</v>
      </c>
      <c r="E725" s="3" t="s">
        <v>225</v>
      </c>
      <c r="F725" s="3" t="s">
        <v>38</v>
      </c>
    </row>
    <row r="726" spans="1:8" x14ac:dyDescent="0.25">
      <c r="A726" s="2">
        <v>42642.84375</v>
      </c>
      <c r="B726" s="3" t="str">
        <f>"02112107089"</f>
        <v>02112107089</v>
      </c>
      <c r="C726" s="3" t="s">
        <v>9</v>
      </c>
      <c r="D726" s="3" t="s">
        <v>263</v>
      </c>
      <c r="E726" s="3" t="s">
        <v>51</v>
      </c>
      <c r="F726" s="9" t="s">
        <v>69</v>
      </c>
      <c r="G726" s="10"/>
      <c r="H726" s="10"/>
    </row>
    <row r="727" spans="1:8" hidden="1" x14ac:dyDescent="0.25">
      <c r="A727" s="2">
        <v>42649.84375</v>
      </c>
      <c r="B727" s="3" t="str">
        <f>"02220401122"</f>
        <v>02220401122</v>
      </c>
      <c r="C727" s="3" t="s">
        <v>82</v>
      </c>
      <c r="D727" s="3" t="s">
        <v>12</v>
      </c>
      <c r="E727" s="3" t="s">
        <v>83</v>
      </c>
      <c r="F727" s="3" t="s">
        <v>29</v>
      </c>
    </row>
    <row r="728" spans="1:8" hidden="1" x14ac:dyDescent="0.25">
      <c r="A728" s="2">
        <v>42653.84375</v>
      </c>
      <c r="B728" s="3" t="str">
        <f>"02120401173"</f>
        <v>02120401173</v>
      </c>
      <c r="C728" s="3" t="s">
        <v>36</v>
      </c>
      <c r="D728" s="3" t="s">
        <v>12</v>
      </c>
      <c r="E728" s="3" t="s">
        <v>37</v>
      </c>
      <c r="F728" s="3" t="s">
        <v>14</v>
      </c>
    </row>
    <row r="729" spans="1:8" hidden="1" x14ac:dyDescent="0.25">
      <c r="A729" s="2">
        <v>42655.84375</v>
      </c>
      <c r="B729" s="3" t="str">
        <f>"02120601123"</f>
        <v>02120601123</v>
      </c>
      <c r="C729" s="3" t="s">
        <v>26</v>
      </c>
      <c r="D729" s="3" t="s">
        <v>9</v>
      </c>
      <c r="E729" s="3" t="s">
        <v>37</v>
      </c>
      <c r="F729" s="3" t="s">
        <v>31</v>
      </c>
    </row>
    <row r="730" spans="1:8" hidden="1" x14ac:dyDescent="0.25">
      <c r="A730" s="2">
        <v>42657.84375</v>
      </c>
      <c r="B730" s="3" t="str">
        <f>"02119101131"</f>
        <v>02119101131</v>
      </c>
      <c r="C730" s="3" t="s">
        <v>147</v>
      </c>
      <c r="D730" s="3" t="s">
        <v>12</v>
      </c>
      <c r="E730" s="3" t="s">
        <v>115</v>
      </c>
      <c r="F730" s="3" t="s">
        <v>24</v>
      </c>
    </row>
    <row r="731" spans="1:8" hidden="1" x14ac:dyDescent="0.25">
      <c r="A731" s="2">
        <v>42659.75</v>
      </c>
      <c r="B731" s="3" t="str">
        <f>"02114101128"</f>
        <v>02114101128</v>
      </c>
      <c r="C731" s="3" t="s">
        <v>15</v>
      </c>
      <c r="D731" s="3" t="s">
        <v>12</v>
      </c>
      <c r="E731" s="3" t="s">
        <v>366</v>
      </c>
      <c r="F731" s="3" t="s">
        <v>38</v>
      </c>
    </row>
  </sheetData>
  <autoFilter ref="A3:F731">
    <filterColumn colId="2">
      <filters>
        <filter val="Rælingen"/>
        <filter val="Rælingen 2"/>
        <filter val="Rælingen 3"/>
        <filter val="Rælingen 4"/>
        <filter val="Rælingen 5"/>
        <filter val="Rælingen 6"/>
        <filter val="Rælingen Blå"/>
        <filter val="Rælingen Grønn"/>
        <filter val="Rælingen Gul"/>
        <filter val="Rælingen Hvit"/>
        <filter val="Rælingen Rosa"/>
        <filter val="Rælingen Rød"/>
      </filters>
    </filterColumn>
  </autoFilter>
  <pageMargins left="0.75" right="0.75" top="1" bottom="1" header="0.5" footer="0.5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kamper (7)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Daglig Leder</dc:creator>
  <cp:lastModifiedBy>Daglig Leder</cp:lastModifiedBy>
  <dcterms:created xsi:type="dcterms:W3CDTF">2016-03-30T08:44:57Z</dcterms:created>
  <dcterms:modified xsi:type="dcterms:W3CDTF">2016-04-13T13:29:41Z</dcterms:modified>
</cp:coreProperties>
</file>